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696" lockStructure="1"/>
  <bookViews>
    <workbookView windowWidth="28125" windowHeight="12540" tabRatio="883" activeTab="1"/>
  </bookViews>
  <sheets>
    <sheet name="rev. 020712" sheetId="1" r:id="rId1"/>
    <sheet name="TM-21 Inputs" sheetId="2" r:id="rId2"/>
    <sheet name="Product Inputs" sheetId="3" state="hidden" r:id="rId3"/>
    <sheet name="TM-21 Projection" sheetId="8" state="hidden"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definedNames>
    <definedName name="_xlnm.Print_Area" localSheetId="1">'TM-21 Inputs'!$A$1:$T$46</definedName>
  </definedNames>
  <calcPr calcId="144525"/>
</workbook>
</file>

<file path=xl/sharedStrings.xml><?xml version="1.0" encoding="utf-8"?>
<sst xmlns="http://schemas.openxmlformats.org/spreadsheetml/2006/main" count="165" uniqueCount="101">
  <si>
    <r>
      <rPr>
        <b/>
        <sz val="18"/>
        <rFont val="Arial"/>
        <charset val="134"/>
      </rPr>
      <t xml:space="preserve">       ENERGY STAR</t>
    </r>
    <r>
      <rPr>
        <b/>
        <vertAlign val="superscript"/>
        <sz val="18"/>
        <rFont val="Arial"/>
        <charset val="134"/>
      </rPr>
      <t>®</t>
    </r>
    <r>
      <rPr>
        <b/>
        <sz val="18"/>
        <rFont val="Arial"/>
        <charset val="134"/>
      </rPr>
      <t xml:space="preserve"> TM-21 Calculator</t>
    </r>
    <r>
      <rPr>
        <b/>
        <u/>
        <sz val="18"/>
        <rFont val="Arial"/>
        <charset val="134"/>
      </rPr>
      <t xml:space="preserve">
</t>
    </r>
  </si>
  <si>
    <r>
      <rPr>
        <b/>
        <sz val="12"/>
        <color theme="1"/>
        <rFont val="Arial"/>
        <charset val="134"/>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charset val="134"/>
      </rPr>
      <t xml:space="preserve">
</t>
    </r>
    <r>
      <rPr>
        <sz val="10"/>
        <color theme="1"/>
        <rFont val="Arial"/>
        <charset val="134"/>
      </rPr>
      <t xml:space="preserve"> </t>
    </r>
    <r>
      <rPr>
        <sz val="14"/>
        <color theme="1"/>
        <rFont val="Arial"/>
        <charset val="134"/>
      </rPr>
      <t xml:space="preserve">
</t>
    </r>
    <r>
      <rPr>
        <sz val="12"/>
        <color theme="1"/>
        <rFont val="Arial"/>
        <charset val="134"/>
      </rPr>
      <t xml:space="preserve">This calculator is based on the Illuminating Engineering Society’s TM-21-11: </t>
    </r>
    <r>
      <rPr>
        <i/>
        <sz val="12"/>
        <color theme="1"/>
        <rFont val="Arial"/>
        <charset val="134"/>
      </rPr>
      <t>Projecting Long Term Lumen Maintenance of LED Light Sources</t>
    </r>
    <r>
      <rPr>
        <sz val="12"/>
        <color theme="1"/>
        <rFont val="Arial"/>
        <charset val="134"/>
      </rPr>
      <t>.  Calculator results have been validated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Questions may be directed to luminaires@energystar.gov or lamps@energystar.gov.</t>
    </r>
  </si>
  <si>
    <t>TM-21 Inputs</t>
  </si>
  <si>
    <t>LM-80 Test Inputs</t>
  </si>
  <si>
    <t>Instructions</t>
  </si>
  <si>
    <t>Description of LED Light Source Tested 
(manufacturer, model, catalog number)</t>
  </si>
  <si>
    <r>
      <rPr>
        <sz val="14"/>
        <color theme="1"/>
        <rFont val="Arial"/>
        <charset val="134"/>
      </rP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Enter drive current, </t>
    </r>
    <r>
      <rPr>
        <i/>
        <sz val="14"/>
        <color theme="1"/>
        <rFont val="Arial"/>
        <charset val="134"/>
      </rPr>
      <t>in-situ</t>
    </r>
    <r>
      <rPr>
        <sz val="14"/>
        <color theme="1"/>
        <rFont val="Arial"/>
        <charset val="134"/>
      </rPr>
      <t xml:space="preserve"> temperature data and the percentage of initial lumens to project to in the fields labeled "</t>
    </r>
    <r>
      <rPr>
        <i/>
        <sz val="14"/>
        <color theme="1"/>
        <rFont val="Arial"/>
        <charset val="134"/>
      </rPr>
      <t>In-Situ</t>
    </r>
    <r>
      <rPr>
        <sz val="14"/>
        <color theme="1"/>
        <rFont val="Arial"/>
        <charset val="134"/>
      </rPr>
      <t xml:space="preserve"> Inputs".
Results can be tailored to estimate lumen maintenance at a specific time by entering a value (t) in the yellow field.
A complete TM-21 report will appear on the next tab labeled "Report".</t>
    </r>
  </si>
  <si>
    <t>Time (hours)</t>
  </si>
  <si>
    <t>Lumen Maintenance (%)</t>
  </si>
  <si>
    <t>LM-80 Testing Details</t>
  </si>
  <si>
    <t>Total number of units tested per case temperature:</t>
  </si>
  <si>
    <t>Number of failures:</t>
  </si>
  <si>
    <t>Number of units measured:</t>
  </si>
  <si>
    <t>Test duration (hours):</t>
  </si>
  <si>
    <t>Tested drive current (mA):</t>
  </si>
  <si>
    <r>
      <rPr>
        <sz val="14"/>
        <color theme="1"/>
        <rFont val="Arial"/>
        <charset val="134"/>
      </rPr>
      <t>Tested case temperature 1 (T</t>
    </r>
    <r>
      <rPr>
        <vertAlign val="subscript"/>
        <sz val="14"/>
        <color theme="1"/>
        <rFont val="Arial"/>
        <charset val="134"/>
      </rPr>
      <t>c</t>
    </r>
    <r>
      <rPr>
        <sz val="14"/>
        <color theme="1"/>
        <rFont val="Arial"/>
        <charset val="134"/>
      </rPr>
      <t>, ⁰C):</t>
    </r>
  </si>
  <si>
    <r>
      <rPr>
        <sz val="14"/>
        <color theme="1"/>
        <rFont val="Arial"/>
        <charset val="134"/>
      </rPr>
      <t>Tested case temperature 2 (T</t>
    </r>
    <r>
      <rPr>
        <vertAlign val="subscript"/>
        <sz val="14"/>
        <color theme="1"/>
        <rFont val="Arial"/>
        <charset val="134"/>
      </rPr>
      <t>c</t>
    </r>
    <r>
      <rPr>
        <sz val="14"/>
        <color theme="1"/>
        <rFont val="Arial"/>
        <charset val="134"/>
      </rPr>
      <t>, ⁰C):</t>
    </r>
  </si>
  <si>
    <r>
      <rPr>
        <sz val="14"/>
        <color theme="1"/>
        <rFont val="Arial"/>
        <charset val="134"/>
      </rPr>
      <t>Tested case temperature 3 (T</t>
    </r>
    <r>
      <rPr>
        <vertAlign val="subscript"/>
        <sz val="14"/>
        <color theme="1"/>
        <rFont val="Arial"/>
        <charset val="134"/>
      </rPr>
      <t>c</t>
    </r>
    <r>
      <rPr>
        <sz val="14"/>
        <color theme="1"/>
        <rFont val="Arial"/>
        <charset val="134"/>
      </rPr>
      <t>, ⁰C):</t>
    </r>
  </si>
  <si>
    <r>
      <rPr>
        <b/>
        <i/>
        <sz val="20"/>
        <color theme="1"/>
        <rFont val="Arial"/>
        <charset val="134"/>
      </rPr>
      <t xml:space="preserve">In-Situ </t>
    </r>
    <r>
      <rPr>
        <b/>
        <sz val="20"/>
        <color theme="1"/>
        <rFont val="Arial"/>
        <charset val="134"/>
      </rPr>
      <t>Inputs</t>
    </r>
  </si>
  <si>
    <t>Drive current for each 
LED package/array/module (mA):</t>
  </si>
  <si>
    <r>
      <rPr>
        <i/>
        <sz val="14"/>
        <color theme="1"/>
        <rFont val="Arial"/>
        <charset val="134"/>
      </rPr>
      <t>In-situ</t>
    </r>
    <r>
      <rPr>
        <sz val="14"/>
        <color theme="1"/>
        <rFont val="Arial"/>
        <charset val="134"/>
      </rPr>
      <t xml:space="preserve"> case temperature (T</t>
    </r>
    <r>
      <rPr>
        <vertAlign val="subscript"/>
        <sz val="14"/>
        <color theme="1"/>
        <rFont val="Arial"/>
        <charset val="134"/>
      </rPr>
      <t>c</t>
    </r>
    <r>
      <rPr>
        <sz val="14"/>
        <color theme="1"/>
        <rFont val="Arial"/>
        <charset val="134"/>
      </rPr>
      <t>, ⁰C):</t>
    </r>
  </si>
  <si>
    <r>
      <rPr>
        <sz val="14"/>
        <color theme="1"/>
        <rFont val="Arial"/>
        <charset val="134"/>
      </rPr>
      <t>Percentage of initial lumens to project to (e.g. for L</t>
    </r>
    <r>
      <rPr>
        <vertAlign val="subscript"/>
        <sz val="14"/>
        <color theme="1"/>
        <rFont val="Arial"/>
        <charset val="134"/>
      </rPr>
      <t>70</t>
    </r>
    <r>
      <rPr>
        <sz val="14"/>
        <color theme="1"/>
        <rFont val="Arial"/>
        <charset val="134"/>
      </rPr>
      <t>, enter 70):</t>
    </r>
  </si>
  <si>
    <t>Results</t>
  </si>
  <si>
    <t>Time (t) at which to estimate lumen maintenance (hours):</t>
  </si>
  <si>
    <t>Lumen maintenance at time (t) (%):</t>
  </si>
  <si>
    <t>Calculations:</t>
  </si>
  <si>
    <r>
      <rPr>
        <sz val="11"/>
        <color theme="1"/>
        <rFont val="宋体"/>
        <charset val="134"/>
        <scheme val="minor"/>
      </rPr>
      <t>Minimum Case Temperature (T</t>
    </r>
    <r>
      <rPr>
        <vertAlign val="subscript"/>
        <sz val="11"/>
        <color theme="1"/>
        <rFont val="宋体"/>
        <charset val="134"/>
        <scheme val="minor"/>
      </rPr>
      <t>s,1</t>
    </r>
    <r>
      <rPr>
        <sz val="11"/>
        <color theme="1"/>
        <rFont val="宋体"/>
        <charset val="134"/>
        <scheme val="minor"/>
      </rPr>
      <t>) for Extrapolation (K):</t>
    </r>
  </si>
  <si>
    <r>
      <rPr>
        <sz val="11"/>
        <color theme="1"/>
        <rFont val="Calibri"/>
        <charset val="134"/>
      </rPr>
      <t>α</t>
    </r>
    <r>
      <rPr>
        <vertAlign val="subscript"/>
        <sz val="11"/>
        <color theme="1"/>
        <rFont val="Calibri"/>
        <charset val="134"/>
      </rPr>
      <t>1</t>
    </r>
  </si>
  <si>
    <t>Table 1: Report at each LM-80 Test Condition</t>
  </si>
  <si>
    <r>
      <rPr>
        <sz val="11"/>
        <color theme="1"/>
        <rFont val="宋体"/>
        <charset val="134"/>
        <scheme val="minor"/>
      </rPr>
      <t>B</t>
    </r>
    <r>
      <rPr>
        <vertAlign val="subscript"/>
        <sz val="11"/>
        <color theme="1"/>
        <rFont val="宋体"/>
        <charset val="134"/>
        <scheme val="minor"/>
      </rPr>
      <t>1</t>
    </r>
  </si>
  <si>
    <t>Case Temperature 1</t>
  </si>
  <si>
    <t>Case Temperature 2</t>
  </si>
  <si>
    <t>Case Temperature 3</t>
  </si>
  <si>
    <r>
      <rPr>
        <sz val="11"/>
        <color theme="1"/>
        <rFont val="宋体"/>
        <charset val="134"/>
        <scheme val="minor"/>
      </rPr>
      <t>Maximum Case Temperature (T</t>
    </r>
    <r>
      <rPr>
        <vertAlign val="subscript"/>
        <sz val="11"/>
        <color theme="1"/>
        <rFont val="宋体"/>
        <charset val="134"/>
        <scheme val="minor"/>
      </rPr>
      <t>s,2</t>
    </r>
    <r>
      <rPr>
        <sz val="11"/>
        <color theme="1"/>
        <rFont val="宋体"/>
        <charset val="134"/>
        <scheme val="minor"/>
      </rPr>
      <t>) for Extrapolation (K):</t>
    </r>
  </si>
  <si>
    <t>Temperature (⁰C):</t>
  </si>
  <si>
    <r>
      <rPr>
        <sz val="11"/>
        <color theme="1"/>
        <rFont val="Calibri"/>
        <charset val="134"/>
      </rPr>
      <t>α</t>
    </r>
    <r>
      <rPr>
        <vertAlign val="subscript"/>
        <sz val="9.35"/>
        <color theme="1"/>
        <rFont val="Calibri"/>
        <charset val="134"/>
      </rPr>
      <t>2</t>
    </r>
  </si>
  <si>
    <t>Temperature (⁰K):</t>
  </si>
  <si>
    <r>
      <rPr>
        <sz val="11"/>
        <color theme="1"/>
        <rFont val="宋体"/>
        <charset val="134"/>
        <scheme val="minor"/>
      </rPr>
      <t>B</t>
    </r>
    <r>
      <rPr>
        <vertAlign val="subscript"/>
        <sz val="11"/>
        <color theme="1"/>
        <rFont val="宋体"/>
        <charset val="134"/>
        <scheme val="minor"/>
      </rPr>
      <t>2</t>
    </r>
  </si>
  <si>
    <r>
      <rPr>
        <sz val="11"/>
        <color theme="1"/>
        <rFont val="宋体"/>
        <charset val="134"/>
        <scheme val="minor"/>
      </rPr>
      <t>E</t>
    </r>
    <r>
      <rPr>
        <vertAlign val="subscript"/>
        <sz val="11"/>
        <color theme="1"/>
        <rFont val="宋体"/>
        <charset val="134"/>
        <scheme val="minor"/>
      </rPr>
      <t>a</t>
    </r>
    <r>
      <rPr>
        <sz val="11"/>
        <color theme="1"/>
        <rFont val="宋体"/>
        <charset val="134"/>
        <scheme val="minor"/>
      </rPr>
      <t>/k</t>
    </r>
    <r>
      <rPr>
        <vertAlign val="subscript"/>
        <sz val="11"/>
        <color theme="1"/>
        <rFont val="宋体"/>
        <charset val="134"/>
        <scheme val="minor"/>
      </rPr>
      <t>b</t>
    </r>
  </si>
  <si>
    <r>
      <rPr>
        <sz val="11"/>
        <color theme="1"/>
        <rFont val="宋体"/>
        <charset val="134"/>
        <scheme val="minor"/>
      </rPr>
      <t>k</t>
    </r>
    <r>
      <rPr>
        <vertAlign val="subscript"/>
        <sz val="11"/>
        <color theme="1"/>
        <rFont val="宋体"/>
        <charset val="134"/>
        <scheme val="minor"/>
      </rPr>
      <t>b</t>
    </r>
    <r>
      <rPr>
        <sz val="11"/>
        <color theme="1"/>
        <rFont val="宋体"/>
        <charset val="134"/>
        <scheme val="minor"/>
      </rPr>
      <t xml:space="preserve"> (eV/K)</t>
    </r>
  </si>
  <si>
    <r>
      <rPr>
        <sz val="11"/>
        <color theme="1"/>
        <rFont val="宋体"/>
        <charset val="134"/>
        <scheme val="minor"/>
      </rPr>
      <t>E</t>
    </r>
    <r>
      <rPr>
        <vertAlign val="subscript"/>
        <sz val="11"/>
        <color theme="1"/>
        <rFont val="宋体"/>
        <charset val="134"/>
        <scheme val="minor"/>
      </rPr>
      <t>a</t>
    </r>
    <r>
      <rPr>
        <sz val="11"/>
        <color theme="1"/>
        <rFont val="宋体"/>
        <charset val="134"/>
        <scheme val="minor"/>
      </rPr>
      <t xml:space="preserve"> (eV)</t>
    </r>
  </si>
  <si>
    <t>A</t>
  </si>
  <si>
    <r>
      <rPr>
        <sz val="11"/>
        <color theme="1"/>
        <rFont val="宋体"/>
        <charset val="134"/>
        <scheme val="minor"/>
      </rPr>
      <t>B</t>
    </r>
    <r>
      <rPr>
        <vertAlign val="subscript"/>
        <sz val="11"/>
        <color theme="1"/>
        <rFont val="宋体"/>
        <charset val="134"/>
        <scheme val="minor"/>
      </rPr>
      <t>0</t>
    </r>
  </si>
  <si>
    <r>
      <rPr>
        <sz val="11"/>
        <color theme="1"/>
        <rFont val="宋体"/>
        <charset val="134"/>
        <scheme val="minor"/>
      </rPr>
      <t>In Situ Case Temperature (T</t>
    </r>
    <r>
      <rPr>
        <vertAlign val="subscript"/>
        <sz val="11"/>
        <color theme="1"/>
        <rFont val="宋体"/>
        <charset val="134"/>
        <scheme val="minor"/>
      </rPr>
      <t>s,i</t>
    </r>
    <r>
      <rPr>
        <sz val="11"/>
        <color theme="1"/>
        <rFont val="宋体"/>
        <charset val="134"/>
        <scheme val="minor"/>
      </rPr>
      <t>) (K):</t>
    </r>
  </si>
  <si>
    <t>Table 2: Report for Interpolation (based on in-situ temperature)</t>
  </si>
  <si>
    <r>
      <rPr>
        <sz val="11"/>
        <color theme="1"/>
        <rFont val="Calibri"/>
        <charset val="134"/>
      </rPr>
      <t>α</t>
    </r>
    <r>
      <rPr>
        <vertAlign val="subscript"/>
        <sz val="11"/>
        <color theme="1"/>
        <rFont val="Calibri"/>
        <charset val="134"/>
      </rPr>
      <t>i</t>
    </r>
  </si>
  <si>
    <t>Number of Samples Tested:</t>
  </si>
  <si>
    <r>
      <rPr>
        <sz val="11"/>
        <color theme="1"/>
        <rFont val="宋体"/>
        <charset val="134"/>
        <scheme val="minor"/>
      </rPr>
      <t>T</t>
    </r>
    <r>
      <rPr>
        <vertAlign val="subscript"/>
        <sz val="11"/>
        <color theme="1"/>
        <rFont val="宋体"/>
        <charset val="134"/>
        <scheme val="minor"/>
      </rPr>
      <t>s,1</t>
    </r>
    <r>
      <rPr>
        <sz val="11"/>
        <color theme="1"/>
        <rFont val="宋体"/>
        <charset val="134"/>
        <scheme val="minor"/>
      </rPr>
      <t xml:space="preserve"> (</t>
    </r>
    <r>
      <rPr>
        <sz val="11"/>
        <color theme="1"/>
        <rFont val="Calibri"/>
        <charset val="134"/>
      </rPr>
      <t>⁰C</t>
    </r>
    <r>
      <rPr>
        <sz val="11"/>
        <color theme="1"/>
        <rFont val="宋体"/>
        <charset val="134"/>
        <scheme val="minor"/>
      </rPr>
      <t>)</t>
    </r>
  </si>
  <si>
    <t>Number of Failures:</t>
  </si>
  <si>
    <r>
      <rPr>
        <sz val="11"/>
        <color theme="1"/>
        <rFont val="宋体"/>
        <charset val="134"/>
        <scheme val="minor"/>
      </rPr>
      <t>T</t>
    </r>
    <r>
      <rPr>
        <vertAlign val="subscript"/>
        <sz val="11"/>
        <color theme="1"/>
        <rFont val="宋体"/>
        <charset val="134"/>
        <scheme val="minor"/>
      </rPr>
      <t>s,1</t>
    </r>
    <r>
      <rPr>
        <sz val="11"/>
        <color theme="1"/>
        <rFont val="宋体"/>
        <charset val="134"/>
        <scheme val="minor"/>
      </rPr>
      <t xml:space="preserve"> (K)</t>
    </r>
  </si>
  <si>
    <t>Number of Samples Measured:</t>
  </si>
  <si>
    <t>DUT drive current used in the test (mA):</t>
  </si>
  <si>
    <t>Test duration (hrs):</t>
  </si>
  <si>
    <r>
      <rPr>
        <sz val="11"/>
        <color theme="1"/>
        <rFont val="宋体"/>
        <charset val="134"/>
        <scheme val="minor"/>
      </rPr>
      <t>T</t>
    </r>
    <r>
      <rPr>
        <vertAlign val="subscript"/>
        <sz val="11"/>
        <color theme="1"/>
        <rFont val="宋体"/>
        <charset val="134"/>
        <scheme val="minor"/>
      </rPr>
      <t>s,2</t>
    </r>
    <r>
      <rPr>
        <sz val="11"/>
        <color theme="1"/>
        <rFont val="宋体"/>
        <charset val="134"/>
        <scheme val="minor"/>
      </rPr>
      <t xml:space="preserve"> (⁰C)</t>
    </r>
  </si>
  <si>
    <t>Test duration used for projection (hr to hr):</t>
  </si>
  <si>
    <r>
      <rPr>
        <sz val="11"/>
        <color theme="1"/>
        <rFont val="宋体"/>
        <charset val="134"/>
        <scheme val="minor"/>
      </rPr>
      <t>T</t>
    </r>
    <r>
      <rPr>
        <vertAlign val="subscript"/>
        <sz val="11"/>
        <color theme="1"/>
        <rFont val="宋体"/>
        <charset val="134"/>
        <scheme val="minor"/>
      </rPr>
      <t>s,2</t>
    </r>
    <r>
      <rPr>
        <sz val="11"/>
        <color theme="1"/>
        <rFont val="宋体"/>
        <charset val="134"/>
        <scheme val="minor"/>
      </rPr>
      <t xml:space="preserve"> (K)</t>
    </r>
  </si>
  <si>
    <t>Tested case temperature (⁰C):</t>
  </si>
  <si>
    <r>
      <rPr>
        <sz val="11"/>
        <color theme="1"/>
        <rFont val="Calibri"/>
        <charset val="134"/>
      </rPr>
      <t>α</t>
    </r>
    <r>
      <rPr>
        <vertAlign val="subscript"/>
        <sz val="11"/>
        <color theme="1"/>
        <rFont val="Calibri"/>
        <charset val="134"/>
      </rPr>
      <t>2</t>
    </r>
  </si>
  <si>
    <t>α:</t>
  </si>
  <si>
    <t>B:</t>
  </si>
  <si>
    <r>
      <rPr>
        <sz val="11"/>
        <color theme="1"/>
        <rFont val="宋体"/>
        <charset val="134"/>
        <scheme val="minor"/>
      </rPr>
      <t>T</t>
    </r>
    <r>
      <rPr>
        <vertAlign val="subscript"/>
        <sz val="11"/>
        <color theme="1"/>
        <rFont val="宋体"/>
        <charset val="134"/>
        <scheme val="minor"/>
      </rPr>
      <t>s,i</t>
    </r>
    <r>
      <rPr>
        <sz val="11"/>
        <color theme="1"/>
        <rFont val="宋体"/>
        <charset val="134"/>
        <scheme val="minor"/>
      </rPr>
      <t xml:space="preserve"> (</t>
    </r>
    <r>
      <rPr>
        <sz val="11"/>
        <color theme="1"/>
        <rFont val="Calibri"/>
        <charset val="134"/>
      </rPr>
      <t>⁰C</t>
    </r>
    <r>
      <rPr>
        <sz val="11"/>
        <color theme="1"/>
        <rFont val="宋体"/>
        <charset val="134"/>
        <scheme val="minor"/>
      </rPr>
      <t>)</t>
    </r>
  </si>
  <si>
    <r>
      <rPr>
        <sz val="11"/>
        <color theme="1"/>
        <rFont val="宋体"/>
        <charset val="134"/>
        <scheme val="minor"/>
      </rPr>
      <t>T</t>
    </r>
    <r>
      <rPr>
        <vertAlign val="subscript"/>
        <sz val="11"/>
        <color theme="1"/>
        <rFont val="宋体"/>
        <charset val="134"/>
        <scheme val="minor"/>
      </rPr>
      <t>s,i</t>
    </r>
    <r>
      <rPr>
        <sz val="11"/>
        <color theme="1"/>
        <rFont val="宋体"/>
        <charset val="134"/>
        <scheme val="minor"/>
      </rPr>
      <t xml:space="preserve"> (K)</t>
    </r>
  </si>
  <si>
    <t>TM-21 Report</t>
  </si>
  <si>
    <t>Table 2: Interpolation Report</t>
  </si>
  <si>
    <t>Description of LED Light Source Tested (manufacturer, model, 
catalog number)</t>
  </si>
  <si>
    <r>
      <rPr>
        <b/>
        <sz val="11"/>
        <color theme="0"/>
        <rFont val="Arial"/>
        <charset val="134"/>
      </rPr>
      <t xml:space="preserve">(projection based on </t>
    </r>
    <r>
      <rPr>
        <b/>
        <i/>
        <sz val="11"/>
        <color theme="0"/>
        <rFont val="Arial"/>
        <charset val="134"/>
      </rPr>
      <t>in-situ</t>
    </r>
    <r>
      <rPr>
        <b/>
        <sz val="11"/>
        <color theme="0"/>
        <rFont val="Arial"/>
        <charset val="134"/>
      </rPr>
      <t xml:space="preserve"> temperature entered)</t>
    </r>
  </si>
  <si>
    <r>
      <rPr>
        <sz val="11"/>
        <color theme="1"/>
        <rFont val="Arial"/>
        <charset val="134"/>
      </rPr>
      <t>T</t>
    </r>
    <r>
      <rPr>
        <vertAlign val="subscript"/>
        <sz val="11"/>
        <color theme="1"/>
        <rFont val="Arial"/>
        <charset val="134"/>
      </rPr>
      <t>s,1</t>
    </r>
    <r>
      <rPr>
        <sz val="11"/>
        <color theme="1"/>
        <rFont val="Arial"/>
        <charset val="134"/>
      </rPr>
      <t xml:space="preserve"> (⁰C)</t>
    </r>
  </si>
  <si>
    <r>
      <rPr>
        <sz val="11"/>
        <color theme="1"/>
        <rFont val="Arial"/>
        <charset val="134"/>
      </rPr>
      <t>T</t>
    </r>
    <r>
      <rPr>
        <vertAlign val="subscript"/>
        <sz val="11"/>
        <color theme="1"/>
        <rFont val="Arial"/>
        <charset val="134"/>
      </rPr>
      <t>s,1</t>
    </r>
    <r>
      <rPr>
        <sz val="11"/>
        <color theme="1"/>
        <rFont val="Arial"/>
        <charset val="134"/>
      </rPr>
      <t xml:space="preserve"> (K)</t>
    </r>
  </si>
  <si>
    <r>
      <rPr>
        <sz val="11"/>
        <color theme="1"/>
        <rFont val="Arial"/>
        <charset val="134"/>
      </rPr>
      <t>α</t>
    </r>
    <r>
      <rPr>
        <vertAlign val="subscript"/>
        <sz val="11"/>
        <color theme="1"/>
        <rFont val="Arial"/>
        <charset val="134"/>
      </rPr>
      <t>1</t>
    </r>
  </si>
  <si>
    <t>Sample size</t>
  </si>
  <si>
    <r>
      <rPr>
        <sz val="11"/>
        <color theme="1"/>
        <rFont val="Arial"/>
        <charset val="134"/>
      </rPr>
      <t>B</t>
    </r>
    <r>
      <rPr>
        <vertAlign val="subscript"/>
        <sz val="11"/>
        <color theme="1"/>
        <rFont val="Arial"/>
        <charset val="134"/>
      </rPr>
      <t>1</t>
    </r>
  </si>
  <si>
    <t>Number of failures</t>
  </si>
  <si>
    <r>
      <rPr>
        <sz val="11"/>
        <color theme="1"/>
        <rFont val="Arial"/>
        <charset val="134"/>
      </rPr>
      <t>T</t>
    </r>
    <r>
      <rPr>
        <vertAlign val="subscript"/>
        <sz val="11"/>
        <color theme="1"/>
        <rFont val="Arial"/>
        <charset val="134"/>
      </rPr>
      <t>s,2</t>
    </r>
    <r>
      <rPr>
        <sz val="11"/>
        <color theme="1"/>
        <rFont val="Arial"/>
        <charset val="134"/>
      </rPr>
      <t xml:space="preserve"> (⁰C)</t>
    </r>
  </si>
  <si>
    <t>DUT drive current used in the test (mA)</t>
  </si>
  <si>
    <r>
      <rPr>
        <sz val="11"/>
        <color theme="1"/>
        <rFont val="Arial"/>
        <charset val="134"/>
      </rPr>
      <t>T</t>
    </r>
    <r>
      <rPr>
        <vertAlign val="subscript"/>
        <sz val="11"/>
        <color theme="1"/>
        <rFont val="Arial"/>
        <charset val="134"/>
      </rPr>
      <t>s,2</t>
    </r>
    <r>
      <rPr>
        <sz val="11"/>
        <color theme="1"/>
        <rFont val="Arial"/>
        <charset val="134"/>
      </rPr>
      <t xml:space="preserve"> (K)</t>
    </r>
  </si>
  <si>
    <t>Test duration (hours)</t>
  </si>
  <si>
    <r>
      <rPr>
        <sz val="11"/>
        <color theme="1"/>
        <rFont val="Arial"/>
        <charset val="134"/>
      </rPr>
      <t>α</t>
    </r>
    <r>
      <rPr>
        <vertAlign val="subscript"/>
        <sz val="11"/>
        <color theme="1"/>
        <rFont val="Arial"/>
        <charset val="134"/>
      </rPr>
      <t>2</t>
    </r>
  </si>
  <si>
    <t>Test duration used for projection (hour to hour)</t>
  </si>
  <si>
    <r>
      <rPr>
        <sz val="11"/>
        <color theme="1"/>
        <rFont val="Arial"/>
        <charset val="134"/>
      </rPr>
      <t>B</t>
    </r>
    <r>
      <rPr>
        <vertAlign val="subscript"/>
        <sz val="11"/>
        <color theme="1"/>
        <rFont val="Arial"/>
        <charset val="134"/>
      </rPr>
      <t>2</t>
    </r>
  </si>
  <si>
    <t>Tested case temperature (⁰C)</t>
  </si>
  <si>
    <r>
      <rPr>
        <sz val="11"/>
        <color theme="1"/>
        <rFont val="Arial"/>
        <charset val="134"/>
      </rPr>
      <t>E</t>
    </r>
    <r>
      <rPr>
        <vertAlign val="subscript"/>
        <sz val="11"/>
        <color theme="1"/>
        <rFont val="Arial"/>
        <charset val="134"/>
      </rPr>
      <t>a</t>
    </r>
    <r>
      <rPr>
        <sz val="11"/>
        <color theme="1"/>
        <rFont val="Arial"/>
        <charset val="134"/>
      </rPr>
      <t>/k</t>
    </r>
    <r>
      <rPr>
        <vertAlign val="subscript"/>
        <sz val="11"/>
        <color theme="1"/>
        <rFont val="Arial"/>
        <charset val="134"/>
      </rPr>
      <t>b</t>
    </r>
  </si>
  <si>
    <t>α</t>
  </si>
  <si>
    <t>B</t>
  </si>
  <si>
    <r>
      <rPr>
        <sz val="11"/>
        <color theme="1"/>
        <rFont val="Arial"/>
        <charset val="134"/>
      </rPr>
      <t>B</t>
    </r>
    <r>
      <rPr>
        <vertAlign val="subscript"/>
        <sz val="11"/>
        <color theme="1"/>
        <rFont val="Arial"/>
        <charset val="134"/>
      </rPr>
      <t>0</t>
    </r>
  </si>
  <si>
    <r>
      <rPr>
        <sz val="11"/>
        <color theme="1"/>
        <rFont val="Arial"/>
        <charset val="134"/>
      </rPr>
      <t>T</t>
    </r>
    <r>
      <rPr>
        <vertAlign val="subscript"/>
        <sz val="11"/>
        <color theme="1"/>
        <rFont val="Arial"/>
        <charset val="134"/>
      </rPr>
      <t>s,i</t>
    </r>
    <r>
      <rPr>
        <sz val="11"/>
        <color theme="1"/>
        <rFont val="Arial"/>
        <charset val="134"/>
      </rPr>
      <t xml:space="preserve"> (⁰C)</t>
    </r>
  </si>
  <si>
    <r>
      <rPr>
        <sz val="11"/>
        <color theme="1"/>
        <rFont val="Arial"/>
        <charset val="134"/>
      </rPr>
      <t>T</t>
    </r>
    <r>
      <rPr>
        <vertAlign val="subscript"/>
        <sz val="11"/>
        <color theme="1"/>
        <rFont val="Arial"/>
        <charset val="134"/>
      </rPr>
      <t>s,i</t>
    </r>
    <r>
      <rPr>
        <sz val="11"/>
        <color theme="1"/>
        <rFont val="Arial"/>
        <charset val="134"/>
      </rPr>
      <t xml:space="preserve"> (K)</t>
    </r>
  </si>
  <si>
    <r>
      <rPr>
        <sz val="11"/>
        <color theme="1"/>
        <rFont val="Arial"/>
        <charset val="134"/>
      </rPr>
      <t>α</t>
    </r>
    <r>
      <rPr>
        <vertAlign val="subscript"/>
        <sz val="11"/>
        <color theme="1"/>
        <rFont val="Arial"/>
        <charset val="134"/>
      </rPr>
      <t>i</t>
    </r>
  </si>
  <si>
    <t xml:space="preserve">Report Generated By: </t>
  </si>
  <si>
    <t xml:space="preserve">Notes: </t>
  </si>
  <si>
    <t xml:space="preserve">Company: </t>
  </si>
  <si>
    <t xml:space="preserve">Date: </t>
  </si>
  <si>
    <t>Meas.</t>
  </si>
  <si>
    <t>Time (hrs) = x</t>
  </si>
  <si>
    <t>Average Normalized Lumen Maintenance = y</t>
  </si>
  <si>
    <t>ln(y)</t>
  </si>
  <si>
    <t>xy</t>
  </si>
  <si>
    <r>
      <rPr>
        <sz val="11"/>
        <color theme="1"/>
        <rFont val="宋体"/>
        <charset val="134"/>
        <scheme val="minor"/>
      </rPr>
      <t>x</t>
    </r>
    <r>
      <rPr>
        <vertAlign val="superscript"/>
        <sz val="11"/>
        <color theme="1"/>
        <rFont val="宋体"/>
        <charset val="134"/>
        <scheme val="minor"/>
      </rPr>
      <t>2</t>
    </r>
  </si>
  <si>
    <t>xlny</t>
  </si>
  <si>
    <t>Sums</t>
  </si>
  <si>
    <t>Slope:</t>
  </si>
  <si>
    <t>Intercept:</t>
  </si>
</sst>
</file>

<file path=xl/styles.xml><?xml version="1.0" encoding="utf-8"?>
<styleSheet xmlns="http://schemas.openxmlformats.org/spreadsheetml/2006/main">
  <numFmts count="11">
    <numFmt numFmtId="176" formatCode="0.000E+00"/>
    <numFmt numFmtId="44" formatCode="_ &quot;￥&quot;* #,##0.00_ ;_ &quot;￥&quot;* \-#,##0.00_ ;_ &quot;￥&quot;* &quot;-&quot;??_ ;_ @_ "/>
    <numFmt numFmtId="42" formatCode="_ &quot;￥&quot;* #,##0_ ;_ &quot;￥&quot;* \-#,##0_ ;_ &quot;￥&quot;* &quot;-&quot;_ ;_ @_ "/>
    <numFmt numFmtId="41" formatCode="_ * #,##0_ ;_ * \-#,##0_ ;_ * &quot;-&quot;_ ;_ @_ "/>
    <numFmt numFmtId="177" formatCode="_(* #,##0.00_);_(* \(#,##0.00\);_(* &quot;-&quot;??_);_(@_)"/>
    <numFmt numFmtId="178" formatCode="0.00000"/>
    <numFmt numFmtId="179" formatCode="_(* #,##0_);_(* \(#,##0\);_(* &quot;-&quot;??_);_(@_)"/>
    <numFmt numFmtId="180" formatCode="0.000"/>
    <numFmt numFmtId="181" formatCode="0.00000E+00"/>
    <numFmt numFmtId="182" formatCode="0.0000E+00"/>
    <numFmt numFmtId="183" formatCode="0.0000"/>
  </numFmts>
  <fonts count="60">
    <font>
      <sz val="11"/>
      <color theme="1"/>
      <name val="宋体"/>
      <charset val="134"/>
      <scheme val="minor"/>
    </font>
    <font>
      <sz val="12"/>
      <color theme="0"/>
      <name val="宋体"/>
      <charset val="134"/>
      <scheme val="minor"/>
    </font>
    <font>
      <sz val="11"/>
      <color theme="1"/>
      <name val="Calibri"/>
      <charset val="134"/>
    </font>
    <font>
      <sz val="11"/>
      <color theme="1"/>
      <name val="Arial"/>
      <charset val="134"/>
    </font>
    <font>
      <b/>
      <sz val="22"/>
      <color theme="1"/>
      <name val="Arial"/>
      <charset val="134"/>
    </font>
    <font>
      <b/>
      <sz val="11"/>
      <color theme="0"/>
      <name val="Arial"/>
      <charset val="134"/>
    </font>
    <font>
      <b/>
      <sz val="11"/>
      <name val="Arial"/>
      <charset val="134"/>
    </font>
    <font>
      <sz val="11"/>
      <name val="Arial"/>
      <charset val="134"/>
    </font>
    <font>
      <b/>
      <sz val="11"/>
      <color theme="1"/>
      <name val="Arial"/>
      <charset val="134"/>
    </font>
    <font>
      <sz val="11"/>
      <color rgb="FFFF0000"/>
      <name val="Arial"/>
      <charset val="134"/>
    </font>
    <font>
      <sz val="8"/>
      <color theme="1"/>
      <name val="Arial"/>
      <charset val="134"/>
    </font>
    <font>
      <b/>
      <sz val="11"/>
      <color theme="1"/>
      <name val="宋体"/>
      <charset val="134"/>
      <scheme val="minor"/>
    </font>
    <font>
      <sz val="11"/>
      <color theme="0" tint="-0.249977111117893"/>
      <name val="宋体"/>
      <charset val="134"/>
      <scheme val="minor"/>
    </font>
    <font>
      <sz val="11"/>
      <color theme="0"/>
      <name val="宋体"/>
      <charset val="134"/>
      <scheme val="minor"/>
    </font>
    <font>
      <b/>
      <sz val="28"/>
      <color theme="1"/>
      <name val="Arial"/>
      <charset val="134"/>
    </font>
    <font>
      <sz val="14"/>
      <color theme="1"/>
      <name val="Arial"/>
      <charset val="134"/>
    </font>
    <font>
      <sz val="16"/>
      <color theme="1"/>
      <name val="Arial"/>
      <charset val="134"/>
    </font>
    <font>
      <b/>
      <sz val="20"/>
      <color theme="1"/>
      <name val="Arial"/>
      <charset val="134"/>
    </font>
    <font>
      <b/>
      <sz val="20"/>
      <color theme="1"/>
      <name val="宋体"/>
      <charset val="134"/>
      <scheme val="minor"/>
    </font>
    <font>
      <sz val="14"/>
      <color theme="0"/>
      <name val="Arial"/>
      <charset val="134"/>
    </font>
    <font>
      <sz val="14"/>
      <color theme="1"/>
      <name val="宋体"/>
      <charset val="134"/>
      <scheme val="minor"/>
    </font>
    <font>
      <sz val="14"/>
      <color rgb="FFFF0000"/>
      <name val="Arial"/>
      <charset val="134"/>
    </font>
    <font>
      <sz val="12"/>
      <color theme="1"/>
      <name val="Arial"/>
      <charset val="134"/>
    </font>
    <font>
      <b/>
      <sz val="14"/>
      <color theme="1"/>
      <name val="Arial"/>
      <charset val="134"/>
    </font>
    <font>
      <sz val="12"/>
      <color rgb="FFFF0000"/>
      <name val="Arial"/>
      <charset val="134"/>
    </font>
    <font>
      <b/>
      <u/>
      <sz val="18"/>
      <name val="Arial"/>
      <charset val="134"/>
    </font>
    <font>
      <sz val="11"/>
      <color rgb="FFFF0000"/>
      <name val="宋体"/>
      <charset val="0"/>
      <scheme val="minor"/>
    </font>
    <font>
      <b/>
      <sz val="11"/>
      <color theme="3"/>
      <name val="宋体"/>
      <charset val="134"/>
      <scheme val="minor"/>
    </font>
    <font>
      <sz val="11"/>
      <color theme="1"/>
      <name val="宋体"/>
      <charset val="134"/>
      <scheme val="minor"/>
    </font>
    <font>
      <sz val="11"/>
      <color rgb="FFFA7D00"/>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vertAlign val="superscript"/>
      <sz val="11"/>
      <color theme="1"/>
      <name val="宋体"/>
      <charset val="134"/>
      <scheme val="minor"/>
    </font>
    <font>
      <b/>
      <i/>
      <sz val="11"/>
      <color theme="0"/>
      <name val="Arial"/>
      <charset val="134"/>
    </font>
    <font>
      <vertAlign val="subscript"/>
      <sz val="11"/>
      <color theme="1"/>
      <name val="Arial"/>
      <charset val="134"/>
    </font>
    <font>
      <vertAlign val="subscript"/>
      <sz val="11"/>
      <color theme="1"/>
      <name val="宋体"/>
      <charset val="134"/>
      <scheme val="minor"/>
    </font>
    <font>
      <vertAlign val="subscript"/>
      <sz val="11"/>
      <color theme="1"/>
      <name val="Calibri"/>
      <charset val="134"/>
    </font>
    <font>
      <vertAlign val="subscript"/>
      <sz val="9.35"/>
      <color theme="1"/>
      <name val="Calibri"/>
      <charset val="134"/>
    </font>
    <font>
      <i/>
      <sz val="14"/>
      <color theme="1"/>
      <name val="Arial"/>
      <charset val="134"/>
    </font>
    <font>
      <vertAlign val="subscript"/>
      <sz val="14"/>
      <color theme="1"/>
      <name val="Arial"/>
      <charset val="134"/>
    </font>
    <font>
      <b/>
      <i/>
      <sz val="20"/>
      <color theme="1"/>
      <name val="Arial"/>
      <charset val="134"/>
    </font>
    <font>
      <b/>
      <sz val="18"/>
      <name val="Arial"/>
      <charset val="134"/>
    </font>
    <font>
      <b/>
      <vertAlign val="superscript"/>
      <sz val="18"/>
      <name val="Arial"/>
      <charset val="134"/>
    </font>
    <font>
      <b/>
      <sz val="12"/>
      <color theme="1"/>
      <name val="Arial"/>
      <charset val="134"/>
    </font>
    <font>
      <sz val="10"/>
      <color theme="1"/>
      <name val="Arial"/>
      <charset val="134"/>
    </font>
    <font>
      <i/>
      <sz val="12"/>
      <color theme="1"/>
      <name val="Arial"/>
      <charset val="134"/>
    </font>
  </fonts>
  <fills count="4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6795556505"/>
        <bgColor indexed="64"/>
      </patternFill>
    </fill>
    <fill>
      <patternFill patternType="solid">
        <fgColor theme="0" tint="-0.249946592608417"/>
        <bgColor indexed="64"/>
      </patternFill>
    </fill>
    <fill>
      <patternFill patternType="solid">
        <fgColor theme="0"/>
        <bgColor theme="0"/>
      </patternFill>
    </fill>
    <fill>
      <patternFill patternType="solid">
        <fgColor indexed="65"/>
        <bgColor theme="0"/>
      </patternFill>
    </fill>
    <fill>
      <patternFill patternType="solid">
        <fgColor rgb="FFFFFF00"/>
        <bgColor indexed="64"/>
      </patternFill>
    </fill>
    <fill>
      <patternFill patternType="solid">
        <fgColor theme="0" tint="-0.149998474074526"/>
        <bgColor indexed="64"/>
      </patternFill>
    </fill>
    <fill>
      <patternFill patternType="solid">
        <fgColor rgb="FF00B7EB"/>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tint="0.599993896298105"/>
        <bgColor indexed="64"/>
      </patternFill>
    </fill>
  </fills>
  <borders count="100">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medium">
        <color auto="1"/>
      </left>
      <right style="thin">
        <color auto="1"/>
      </right>
      <top style="thin">
        <color auto="1"/>
      </top>
      <bottom style="dashed">
        <color theme="0" tint="-0.349986266670736"/>
      </bottom>
      <diagonal/>
    </border>
    <border>
      <left/>
      <right style="dashed">
        <color auto="1"/>
      </right>
      <top style="thin">
        <color auto="1"/>
      </top>
      <bottom style="dashed">
        <color theme="0" tint="-0.349986266670736"/>
      </bottom>
      <diagonal/>
    </border>
    <border>
      <left style="dashed">
        <color auto="1"/>
      </left>
      <right style="dashed">
        <color auto="1"/>
      </right>
      <top style="thin">
        <color auto="1"/>
      </top>
      <bottom style="dashed">
        <color theme="0" tint="-0.349986266670736"/>
      </bottom>
      <diagonal/>
    </border>
    <border>
      <left style="medium">
        <color auto="1"/>
      </left>
      <right style="thin">
        <color auto="1"/>
      </right>
      <top style="dashed">
        <color theme="0" tint="-0.349986266670736"/>
      </top>
      <bottom style="dashed">
        <color theme="0" tint="-0.349986266670736"/>
      </bottom>
      <diagonal/>
    </border>
    <border>
      <left/>
      <right style="dashed">
        <color auto="1"/>
      </right>
      <top style="dashed">
        <color theme="0" tint="-0.349986266670736"/>
      </top>
      <bottom style="dashed">
        <color theme="0" tint="-0.349986266670736"/>
      </bottom>
      <diagonal/>
    </border>
    <border>
      <left style="dashed">
        <color auto="1"/>
      </left>
      <right style="dashed">
        <color auto="1"/>
      </right>
      <top style="dashed">
        <color theme="0" tint="-0.349986266670736"/>
      </top>
      <bottom style="dashed">
        <color theme="0" tint="-0.349986266670736"/>
      </bottom>
      <diagonal/>
    </border>
    <border>
      <left style="medium">
        <color auto="1"/>
      </left>
      <right style="thin">
        <color auto="1"/>
      </right>
      <top style="dashed">
        <color theme="0" tint="-0.349986266670736"/>
      </top>
      <bottom style="thin">
        <color auto="1"/>
      </bottom>
      <diagonal/>
    </border>
    <border>
      <left/>
      <right style="dashed">
        <color auto="1"/>
      </right>
      <top style="dashed">
        <color theme="0" tint="-0.349986266670736"/>
      </top>
      <bottom style="thin">
        <color auto="1"/>
      </bottom>
      <diagonal/>
    </border>
    <border>
      <left style="dashed">
        <color auto="1"/>
      </left>
      <right style="dashed">
        <color auto="1"/>
      </right>
      <top style="dashed">
        <color theme="0" tint="-0.349986266670736"/>
      </top>
      <bottom style="thin">
        <color auto="1"/>
      </bottom>
      <diagonal/>
    </border>
    <border>
      <left style="medium">
        <color auto="1"/>
      </left>
      <right style="thin">
        <color auto="1"/>
      </right>
      <top style="thin">
        <color auto="1"/>
      </top>
      <bottom style="medium">
        <color auto="1"/>
      </bottom>
      <diagonal/>
    </border>
    <border>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dashed">
        <color theme="0" tint="-0.349986266670736"/>
      </bottom>
      <diagonal/>
    </border>
    <border>
      <left/>
      <right style="medium">
        <color auto="1"/>
      </right>
      <top style="dashed">
        <color theme="0" tint="-0.349986266670736"/>
      </top>
      <bottom style="dashed">
        <color theme="0" tint="-0.349986266670736"/>
      </bottom>
      <diagonal/>
    </border>
    <border>
      <left style="medium">
        <color auto="1"/>
      </left>
      <right style="thin">
        <color auto="1"/>
      </right>
      <top style="dashed">
        <color theme="0" tint="-0.349986266670736"/>
      </top>
      <bottom style="medium">
        <color auto="1"/>
      </bottom>
      <diagonal/>
    </border>
    <border>
      <left/>
      <right style="medium">
        <color auto="1"/>
      </right>
      <top style="dashed">
        <color theme="0" tint="-0.349986266670736"/>
      </top>
      <bottom style="medium">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6"/>
      </bottom>
      <diagonal/>
    </border>
    <border>
      <left style="dashed">
        <color auto="1"/>
      </left>
      <right style="medium">
        <color auto="1"/>
      </right>
      <top style="dashed">
        <color theme="0" tint="-0.349986266670736"/>
      </top>
      <bottom style="dashed">
        <color theme="0" tint="-0.349986266670736"/>
      </bottom>
      <diagonal/>
    </border>
    <border>
      <left style="dashed">
        <color auto="1"/>
      </left>
      <right style="medium">
        <color auto="1"/>
      </right>
      <top style="dashed">
        <color theme="0" tint="-0.349986266670736"/>
      </top>
      <bottom style="thin">
        <color auto="1"/>
      </bottom>
      <diagonal/>
    </border>
    <border>
      <left style="dashed">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ashed">
        <color auto="1"/>
      </right>
      <top/>
      <bottom style="dashed">
        <color theme="0" tint="-0.249946592608417"/>
      </bottom>
      <diagonal/>
    </border>
    <border>
      <left style="dashed">
        <color auto="1"/>
      </left>
      <right style="medium">
        <color auto="1"/>
      </right>
      <top/>
      <bottom style="dashed">
        <color theme="0" tint="-0.249946592608417"/>
      </bottom>
      <diagonal/>
    </border>
    <border>
      <left style="dashed">
        <color auto="1"/>
      </left>
      <right style="medium">
        <color auto="1"/>
      </right>
      <top style="dashed">
        <color theme="0" tint="-0.249946592608417"/>
      </top>
      <bottom style="dashed">
        <color theme="0" tint="-0.249946592608417"/>
      </bottom>
      <diagonal/>
    </border>
    <border>
      <left style="medium">
        <color auto="1"/>
      </left>
      <right style="dashed">
        <color auto="1"/>
      </right>
      <top style="dashed">
        <color theme="0" tint="-0.249946592608417"/>
      </top>
      <bottom/>
      <diagonal/>
    </border>
    <border>
      <left style="dashed">
        <color auto="1"/>
      </left>
      <right style="medium">
        <color auto="1"/>
      </right>
      <top style="dashed">
        <color theme="0" tint="-0.249946592608417"/>
      </top>
      <bottom/>
      <diagonal/>
    </border>
    <border>
      <left style="medium">
        <color auto="1"/>
      </left>
      <right style="dashed">
        <color auto="1"/>
      </right>
      <top style="medium">
        <color auto="1"/>
      </top>
      <bottom style="dashed">
        <color theme="0" tint="-0.249946592608417"/>
      </bottom>
      <diagonal/>
    </border>
    <border>
      <left style="dashed">
        <color auto="1"/>
      </left>
      <right style="medium">
        <color auto="1"/>
      </right>
      <top style="medium">
        <color auto="1"/>
      </top>
      <bottom style="dashed">
        <color theme="0" tint="-0.249946592608417"/>
      </bottom>
      <diagonal/>
    </border>
    <border>
      <left style="medium">
        <color auto="1"/>
      </left>
      <right style="dashed">
        <color auto="1"/>
      </right>
      <top style="dashed">
        <color theme="0" tint="-0.249946592608417"/>
      </top>
      <bottom style="medium">
        <color auto="1"/>
      </bottom>
      <diagonal/>
    </border>
    <border>
      <left style="dashed">
        <color auto="1"/>
      </left>
      <right style="medium">
        <color auto="1"/>
      </right>
      <top style="dashed">
        <color theme="0" tint="-0.249946592608417"/>
      </top>
      <bottom style="medium">
        <color auto="1"/>
      </bottom>
      <diagonal/>
    </border>
    <border>
      <left/>
      <right/>
      <top style="medium">
        <color auto="1"/>
      </top>
      <bottom style="medium">
        <color auto="1"/>
      </bottom>
      <diagonal/>
    </border>
    <border>
      <left style="medium">
        <color auto="1"/>
      </left>
      <right style="thin">
        <color auto="1"/>
      </right>
      <top/>
      <bottom style="dashed">
        <color theme="0" tint="-0.249946592608417"/>
      </bottom>
      <diagonal/>
    </border>
    <border>
      <left style="thin">
        <color auto="1"/>
      </left>
      <right style="medium">
        <color auto="1"/>
      </right>
      <top/>
      <bottom style="dashed">
        <color theme="0" tint="-0.249946592608417"/>
      </bottom>
      <diagonal/>
    </border>
    <border>
      <left style="medium">
        <color auto="1"/>
      </left>
      <right style="thin">
        <color auto="1"/>
      </right>
      <top style="dashed">
        <color theme="0" tint="-0.249946592608417"/>
      </top>
      <bottom style="dashed">
        <color theme="0" tint="-0.249946592608417"/>
      </bottom>
      <diagonal/>
    </border>
    <border>
      <left style="thin">
        <color auto="1"/>
      </left>
      <right style="medium">
        <color auto="1"/>
      </right>
      <top style="dashed">
        <color theme="0" tint="-0.249946592608417"/>
      </top>
      <bottom style="dashed">
        <color theme="0" tint="-0.249946592608417"/>
      </bottom>
      <diagonal/>
    </border>
    <border>
      <left style="medium">
        <color auto="1"/>
      </left>
      <right style="thin">
        <color auto="1"/>
      </right>
      <top style="dashed">
        <color theme="0" tint="-0.249946592608417"/>
      </top>
      <bottom/>
      <diagonal/>
    </border>
    <border>
      <left style="thin">
        <color auto="1"/>
      </left>
      <right style="medium">
        <color auto="1"/>
      </right>
      <top style="dashed">
        <color theme="0" tint="-0.249946592608417"/>
      </top>
      <bottom/>
      <diagonal/>
    </border>
    <border>
      <left style="medium">
        <color auto="1"/>
      </left>
      <right style="thin">
        <color auto="1"/>
      </right>
      <top style="thin">
        <color auto="1"/>
      </top>
      <bottom style="dashed">
        <color theme="0" tint="-0.249946592608417"/>
      </bottom>
      <diagonal/>
    </border>
    <border>
      <left style="thin">
        <color auto="1"/>
      </left>
      <right style="medium">
        <color auto="1"/>
      </right>
      <top style="thin">
        <color auto="1"/>
      </top>
      <bottom style="dashed">
        <color theme="0" tint="-0.249946592608417"/>
      </bottom>
      <diagonal/>
    </border>
    <border>
      <left style="medium">
        <color auto="1"/>
      </left>
      <right style="thin">
        <color auto="1"/>
      </right>
      <top style="dashed">
        <color theme="0" tint="-0.249946592608417"/>
      </top>
      <bottom style="thin">
        <color auto="1"/>
      </bottom>
      <diagonal/>
    </border>
    <border>
      <left style="thin">
        <color auto="1"/>
      </left>
      <right style="medium">
        <color auto="1"/>
      </right>
      <top style="dashed">
        <color theme="0" tint="-0.249946592608417"/>
      </top>
      <bottom style="thin">
        <color auto="1"/>
      </bottom>
      <diagonal/>
    </border>
    <border>
      <left style="medium">
        <color auto="1"/>
      </left>
      <right style="thin">
        <color auto="1"/>
      </right>
      <top style="medium">
        <color auto="1"/>
      </top>
      <bottom style="dashed">
        <color theme="0" tint="-0.249946592608417"/>
      </bottom>
      <diagonal/>
    </border>
    <border>
      <left style="thin">
        <color auto="1"/>
      </left>
      <right style="medium">
        <color auto="1"/>
      </right>
      <top style="medium">
        <color auto="1"/>
      </top>
      <bottom style="dashed">
        <color theme="0" tint="-0.14996795556505"/>
      </bottom>
      <diagonal/>
    </border>
    <border>
      <left style="medium">
        <color auto="1"/>
      </left>
      <right style="thin">
        <color auto="1"/>
      </right>
      <top style="dashed">
        <color theme="0" tint="-0.249946592608417"/>
      </top>
      <bottom style="medium">
        <color auto="1"/>
      </bottom>
      <diagonal/>
    </border>
    <border>
      <left style="thin">
        <color auto="1"/>
      </left>
      <right style="medium">
        <color auto="1"/>
      </right>
      <top style="dashed">
        <color theme="0" tint="-0.14996795556505"/>
      </top>
      <bottom style="medium">
        <color auto="1"/>
      </bottom>
      <diagonal/>
    </border>
    <border>
      <left style="thin">
        <color auto="1"/>
      </left>
      <right style="medium">
        <color auto="1"/>
      </right>
      <top style="medium">
        <color auto="1"/>
      </top>
      <bottom style="dashed">
        <color theme="0" tint="-0.249946592608417"/>
      </bottom>
      <diagonal/>
    </border>
    <border>
      <left style="thin">
        <color auto="1"/>
      </left>
      <right style="medium">
        <color auto="1"/>
      </right>
      <top style="dashed">
        <color theme="0" tint="-0.249946592608417"/>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dashed">
        <color auto="1"/>
      </right>
      <top style="thin">
        <color auto="1"/>
      </top>
      <bottom style="dashed">
        <color theme="0" tint="-0.249946592608417"/>
      </bottom>
      <diagonal/>
    </border>
    <border>
      <left style="dashed">
        <color auto="1"/>
      </left>
      <right style="thin">
        <color auto="1"/>
      </right>
      <top style="thin">
        <color auto="1"/>
      </top>
      <bottom style="dashed">
        <color theme="0" tint="-0.249946592608417"/>
      </bottom>
      <diagonal/>
    </border>
    <border>
      <left style="thin">
        <color auto="1"/>
      </left>
      <right style="thin">
        <color auto="1"/>
      </right>
      <top/>
      <bottom/>
      <diagonal/>
    </border>
    <border>
      <left style="medium">
        <color auto="1"/>
      </left>
      <right style="dashed">
        <color auto="1"/>
      </right>
      <top style="dashed">
        <color theme="0" tint="-0.249946592608417"/>
      </top>
      <bottom style="dashed">
        <color theme="0" tint="-0.249946592608417"/>
      </bottom>
      <diagonal/>
    </border>
    <border>
      <left style="dashed">
        <color auto="1"/>
      </left>
      <right style="thin">
        <color auto="1"/>
      </right>
      <top style="dashed">
        <color theme="0" tint="-0.249946592608417"/>
      </top>
      <bottom style="dashed">
        <color theme="0" tint="-0.249946592608417"/>
      </bottom>
      <diagonal/>
    </border>
    <border>
      <left style="dashed">
        <color auto="1"/>
      </left>
      <right style="thin">
        <color auto="1"/>
      </right>
      <top style="dashed">
        <color theme="0" tint="-0.249946592608417"/>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dashed">
        <color auto="1"/>
      </right>
      <top style="thin">
        <color auto="1"/>
      </top>
      <bottom style="dashed">
        <color theme="0" tint="-0.249946592608417"/>
      </bottom>
      <diagonal/>
    </border>
    <border>
      <left style="dashed">
        <color auto="1"/>
      </left>
      <right style="medium">
        <color auto="1"/>
      </right>
      <top style="thin">
        <color auto="1"/>
      </top>
      <bottom style="dashed">
        <color theme="0" tint="-0.249946592608417"/>
      </bottom>
      <diagonal/>
    </border>
    <border>
      <left style="thin">
        <color auto="1"/>
      </left>
      <right style="dashed">
        <color auto="1"/>
      </right>
      <top style="dashed">
        <color theme="0" tint="-0.249946592608417"/>
      </top>
      <bottom style="dashed">
        <color theme="0" tint="-0.249946592608417"/>
      </bottom>
      <diagonal/>
    </border>
    <border>
      <left style="thin">
        <color auto="1"/>
      </left>
      <right style="dashed">
        <color auto="1"/>
      </right>
      <top style="dashed">
        <color theme="0" tint="-0.249946592608417"/>
      </top>
      <bottom style="medium">
        <color auto="1"/>
      </bottom>
      <diagonal/>
    </border>
    <border>
      <left style="medium">
        <color auto="1"/>
      </left>
      <right/>
      <top/>
      <bottom style="dashed">
        <color theme="0" tint="-0.249946592608417"/>
      </bottom>
      <diagonal/>
    </border>
    <border>
      <left style="medium">
        <color auto="1"/>
      </left>
      <right/>
      <top style="dashed">
        <color theme="0" tint="-0.249946592608417"/>
      </top>
      <bottom style="dashed">
        <color theme="0" tint="-0.249946592608417"/>
      </bottom>
      <diagonal/>
    </border>
    <border>
      <left style="medium">
        <color auto="1"/>
      </left>
      <right/>
      <top style="dashed">
        <color theme="0" tint="-0.249946592608417"/>
      </top>
      <bottom style="medium">
        <color auto="1"/>
      </bottom>
      <diagonal/>
    </border>
    <border>
      <left style="medium">
        <color auto="1"/>
      </left>
      <right/>
      <top style="medium">
        <color auto="1"/>
      </top>
      <bottom style="dashed">
        <color theme="0" tint="-0.249946592608417"/>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ashed">
        <color theme="0" tint="-0.249946592608417"/>
      </bottom>
      <diagonal/>
    </border>
    <border>
      <left/>
      <right style="medium">
        <color auto="1"/>
      </right>
      <top style="medium">
        <color auto="1"/>
      </top>
      <bottom style="dashed">
        <color theme="0" tint="-0.249946592608417"/>
      </bottom>
      <diagonal/>
    </border>
    <border>
      <left style="medium">
        <color auto="1"/>
      </left>
      <right style="medium">
        <color auto="1"/>
      </right>
      <top style="dashed">
        <color theme="0" tint="-0.249946592608417"/>
      </top>
      <bottom style="dashed">
        <color theme="0" tint="-0.249946592608417"/>
      </bottom>
      <diagonal/>
    </border>
    <border>
      <left/>
      <right style="medium">
        <color auto="1"/>
      </right>
      <top style="dashed">
        <color theme="0" tint="-0.249946592608417"/>
      </top>
      <bottom style="dashed">
        <color theme="0" tint="-0.249946592608417"/>
      </bottom>
      <diagonal/>
    </border>
    <border>
      <left style="medium">
        <color auto="1"/>
      </left>
      <right style="medium">
        <color auto="1"/>
      </right>
      <top/>
      <bottom style="dashed">
        <color theme="0" tint="-0.249946592608417"/>
      </bottom>
      <diagonal/>
    </border>
    <border>
      <left style="medium">
        <color auto="1"/>
      </left>
      <right style="medium">
        <color auto="1"/>
      </right>
      <top style="dashed">
        <color theme="0" tint="-0.249946592608417"/>
      </top>
      <bottom style="medium">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28" fillId="0" borderId="0" applyFont="0" applyFill="0" applyBorder="0" applyAlignment="0" applyProtection="0">
      <alignment vertical="center"/>
    </xf>
    <xf numFmtId="0" fontId="37" fillId="14" borderId="0" applyNumberFormat="0" applyBorder="0" applyAlignment="0" applyProtection="0">
      <alignment vertical="center"/>
    </xf>
    <xf numFmtId="0" fontId="36" fillId="12" borderId="93"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7" fillId="23" borderId="0" applyNumberFormat="0" applyBorder="0" applyAlignment="0" applyProtection="0">
      <alignment vertical="center"/>
    </xf>
    <xf numFmtId="0" fontId="39" fillId="19" borderId="0" applyNumberFormat="0" applyBorder="0" applyAlignment="0" applyProtection="0">
      <alignment vertical="center"/>
    </xf>
    <xf numFmtId="177" fontId="0" fillId="0" borderId="0" applyFont="0" applyFill="0" applyBorder="0" applyAlignment="0" applyProtection="0"/>
    <xf numFmtId="0" fontId="38" fillId="2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xf numFmtId="0" fontId="30" fillId="0" borderId="0" applyNumberFormat="0" applyFill="0" applyBorder="0" applyAlignment="0" applyProtection="0">
      <alignment vertical="center"/>
    </xf>
    <xf numFmtId="0" fontId="28" fillId="24" borderId="96" applyNumberFormat="0" applyFont="0" applyAlignment="0" applyProtection="0">
      <alignment vertical="center"/>
    </xf>
    <xf numFmtId="0" fontId="38" fillId="26"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0" borderId="97" applyNumberFormat="0" applyFill="0" applyAlignment="0" applyProtection="0">
      <alignment vertical="center"/>
    </xf>
    <xf numFmtId="0" fontId="40" fillId="0" borderId="97" applyNumberFormat="0" applyFill="0" applyAlignment="0" applyProtection="0">
      <alignment vertical="center"/>
    </xf>
    <xf numFmtId="0" fontId="38" fillId="29" borderId="0" applyNumberFormat="0" applyBorder="0" applyAlignment="0" applyProtection="0">
      <alignment vertical="center"/>
    </xf>
    <xf numFmtId="0" fontId="27" fillId="0" borderId="95" applyNumberFormat="0" applyFill="0" applyAlignment="0" applyProtection="0">
      <alignment vertical="center"/>
    </xf>
    <xf numFmtId="0" fontId="38" fillId="25" borderId="0" applyNumberFormat="0" applyBorder="0" applyAlignment="0" applyProtection="0">
      <alignment vertical="center"/>
    </xf>
    <xf numFmtId="0" fontId="33" fillId="11" borderId="94" applyNumberFormat="0" applyAlignment="0" applyProtection="0">
      <alignment vertical="center"/>
    </xf>
    <xf numFmtId="0" fontId="32" fillId="11" borderId="93" applyNumberFormat="0" applyAlignment="0" applyProtection="0">
      <alignment vertical="center"/>
    </xf>
    <xf numFmtId="0" fontId="42" fillId="30" borderId="98" applyNumberFormat="0" applyAlignment="0" applyProtection="0">
      <alignment vertical="center"/>
    </xf>
    <xf numFmtId="0" fontId="37" fillId="34" borderId="0" applyNumberFormat="0" applyBorder="0" applyAlignment="0" applyProtection="0">
      <alignment vertical="center"/>
    </xf>
    <xf numFmtId="0" fontId="38" fillId="37" borderId="0" applyNumberFormat="0" applyBorder="0" applyAlignment="0" applyProtection="0">
      <alignment vertical="center"/>
    </xf>
    <xf numFmtId="0" fontId="29" fillId="0" borderId="92" applyNumberFormat="0" applyFill="0" applyAlignment="0" applyProtection="0">
      <alignment vertical="center"/>
    </xf>
    <xf numFmtId="0" fontId="44" fillId="0" borderId="99" applyNumberFormat="0" applyFill="0" applyAlignment="0" applyProtection="0">
      <alignment vertical="center"/>
    </xf>
    <xf numFmtId="0" fontId="43" fillId="36" borderId="0" applyNumberFormat="0" applyBorder="0" applyAlignment="0" applyProtection="0">
      <alignment vertical="center"/>
    </xf>
    <xf numFmtId="0" fontId="45" fillId="38" borderId="0" applyNumberFormat="0" applyBorder="0" applyAlignment="0" applyProtection="0">
      <alignment vertical="center"/>
    </xf>
    <xf numFmtId="0" fontId="37" fillId="18" borderId="0" applyNumberFormat="0" applyBorder="0" applyAlignment="0" applyProtection="0">
      <alignment vertical="center"/>
    </xf>
    <xf numFmtId="0" fontId="38" fillId="22" borderId="0" applyNumberFormat="0" applyBorder="0" applyAlignment="0" applyProtection="0">
      <alignment vertical="center"/>
    </xf>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37" fillId="33" borderId="0" applyNumberFormat="0" applyBorder="0" applyAlignment="0" applyProtection="0">
      <alignment vertical="center"/>
    </xf>
    <xf numFmtId="0" fontId="37" fillId="32" borderId="0" applyNumberFormat="0" applyBorder="0" applyAlignment="0" applyProtection="0">
      <alignment vertical="center"/>
    </xf>
    <xf numFmtId="0" fontId="38" fillId="39" borderId="0" applyNumberFormat="0" applyBorder="0" applyAlignment="0" applyProtection="0">
      <alignment vertical="center"/>
    </xf>
    <xf numFmtId="0" fontId="38" fillId="21" borderId="0" applyNumberFormat="0" applyBorder="0" applyAlignment="0" applyProtection="0">
      <alignment vertical="center"/>
    </xf>
    <xf numFmtId="0" fontId="37" fillId="17" borderId="0" applyNumberFormat="0" applyBorder="0" applyAlignment="0" applyProtection="0">
      <alignment vertical="center"/>
    </xf>
    <xf numFmtId="0" fontId="37" fillId="16" borderId="0" applyNumberFormat="0" applyBorder="0" applyAlignment="0" applyProtection="0">
      <alignment vertical="center"/>
    </xf>
    <xf numFmtId="0" fontId="38" fillId="35" borderId="0" applyNumberFormat="0" applyBorder="0" applyAlignment="0" applyProtection="0">
      <alignment vertical="center"/>
    </xf>
    <xf numFmtId="0" fontId="37" fillId="31" borderId="0" applyNumberFormat="0" applyBorder="0" applyAlignment="0" applyProtection="0">
      <alignment vertical="center"/>
    </xf>
    <xf numFmtId="0" fontId="38" fillId="28" borderId="0" applyNumberFormat="0" applyBorder="0" applyAlignment="0" applyProtection="0">
      <alignment vertical="center"/>
    </xf>
    <xf numFmtId="0" fontId="38" fillId="20" borderId="0" applyNumberFormat="0" applyBorder="0" applyAlignment="0" applyProtection="0">
      <alignment vertical="center"/>
    </xf>
    <xf numFmtId="0" fontId="37" fillId="13" borderId="0" applyNumberFormat="0" applyBorder="0" applyAlignment="0" applyProtection="0">
      <alignment vertical="center"/>
    </xf>
    <xf numFmtId="0" fontId="38" fillId="15" borderId="0" applyNumberFormat="0" applyBorder="0" applyAlignment="0" applyProtection="0">
      <alignment vertical="center"/>
    </xf>
  </cellStyleXfs>
  <cellXfs count="300">
    <xf numFmtId="0" fontId="0" fillId="0" borderId="0" xfId="0"/>
    <xf numFmtId="0" fontId="0" fillId="2" borderId="0" xfId="0" applyFill="1"/>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2" borderId="6" xfId="0" applyFill="1" applyBorder="1" applyAlignment="1">
      <alignment horizontal="center" vertical="center"/>
    </xf>
    <xf numFmtId="3" fontId="0" fillId="2" borderId="7" xfId="11" applyNumberFormat="1" applyFont="1" applyFill="1" applyBorder="1" applyAlignment="1">
      <alignment horizontal="center" vertical="center"/>
    </xf>
    <xf numFmtId="9" fontId="0" fillId="2" borderId="8" xfId="11" applyFont="1" applyFill="1" applyBorder="1" applyAlignment="1">
      <alignment horizontal="center" vertical="center"/>
    </xf>
    <xf numFmtId="178" fontId="0" fillId="2" borderId="8" xfId="8" applyNumberFormat="1" applyFont="1" applyFill="1" applyBorder="1" applyAlignment="1">
      <alignment horizontal="center" vertical="center"/>
    </xf>
    <xf numFmtId="4" fontId="0" fillId="2" borderId="8" xfId="11" applyNumberFormat="1" applyFont="1" applyFill="1" applyBorder="1" applyAlignment="1">
      <alignment horizontal="center" vertical="center"/>
    </xf>
    <xf numFmtId="0" fontId="0" fillId="2" borderId="9" xfId="0" applyFill="1" applyBorder="1" applyAlignment="1">
      <alignment horizontal="center" vertical="center"/>
    </xf>
    <xf numFmtId="3" fontId="0" fillId="2" borderId="10" xfId="11" applyNumberFormat="1" applyFont="1" applyFill="1" applyBorder="1" applyAlignment="1">
      <alignment horizontal="center" vertical="center"/>
    </xf>
    <xf numFmtId="9" fontId="0" fillId="2" borderId="11" xfId="11" applyFont="1" applyFill="1" applyBorder="1" applyAlignment="1">
      <alignment horizontal="center" vertical="center"/>
    </xf>
    <xf numFmtId="178" fontId="0" fillId="2" borderId="11" xfId="8" applyNumberFormat="1" applyFont="1" applyFill="1" applyBorder="1" applyAlignment="1">
      <alignment horizontal="center" vertical="center"/>
    </xf>
    <xf numFmtId="4" fontId="0" fillId="2" borderId="11" xfId="11" applyNumberFormat="1" applyFont="1" applyFill="1" applyBorder="1" applyAlignment="1">
      <alignment horizontal="center" vertical="center"/>
    </xf>
    <xf numFmtId="0" fontId="0" fillId="2" borderId="12" xfId="0" applyFill="1" applyBorder="1" applyAlignment="1">
      <alignment horizontal="center" vertical="center"/>
    </xf>
    <xf numFmtId="3" fontId="0" fillId="2" borderId="13" xfId="11" applyNumberFormat="1" applyFont="1" applyFill="1" applyBorder="1" applyAlignment="1">
      <alignment horizontal="center" vertical="center"/>
    </xf>
    <xf numFmtId="9" fontId="0" fillId="2" borderId="14" xfId="11" applyFont="1" applyFill="1" applyBorder="1" applyAlignment="1">
      <alignment horizontal="center" vertical="center"/>
    </xf>
    <xf numFmtId="178" fontId="0" fillId="2" borderId="14" xfId="8" applyNumberFormat="1" applyFont="1" applyFill="1" applyBorder="1" applyAlignment="1">
      <alignment horizontal="center" vertical="center"/>
    </xf>
    <xf numFmtId="4" fontId="0" fillId="2" borderId="14" xfId="11" applyNumberFormat="1" applyFont="1" applyFill="1" applyBorder="1" applyAlignment="1">
      <alignment horizontal="center" vertical="center"/>
    </xf>
    <xf numFmtId="0" fontId="0" fillId="2" borderId="15" xfId="0" applyFill="1" applyBorder="1" applyAlignment="1">
      <alignment horizontal="center" vertical="center"/>
    </xf>
    <xf numFmtId="3" fontId="0" fillId="2" borderId="16" xfId="0" applyNumberFormat="1" applyFill="1" applyBorder="1" applyAlignment="1">
      <alignment horizontal="center" vertical="center"/>
    </xf>
    <xf numFmtId="9" fontId="0" fillId="2" borderId="17" xfId="0" applyNumberFormat="1" applyFill="1" applyBorder="1" applyAlignment="1">
      <alignment horizontal="center" vertical="center"/>
    </xf>
    <xf numFmtId="178" fontId="0" fillId="2" borderId="17" xfId="0" applyNumberFormat="1" applyFill="1" applyBorder="1" applyAlignment="1">
      <alignment horizontal="center" vertical="center"/>
    </xf>
    <xf numFmtId="4" fontId="0" fillId="2" borderId="17" xfId="0" applyNumberFormat="1" applyFill="1" applyBorder="1" applyAlignment="1">
      <alignment horizontal="center" vertical="center"/>
    </xf>
    <xf numFmtId="0" fontId="1" fillId="3" borderId="18" xfId="0" applyFont="1" applyFill="1" applyBorder="1" applyAlignment="1">
      <alignment horizontal="center" vertical="center"/>
    </xf>
    <xf numFmtId="0" fontId="0" fillId="4" borderId="6" xfId="0" applyFill="1" applyBorder="1" applyAlignment="1">
      <alignment vertical="center"/>
    </xf>
    <xf numFmtId="176" fontId="0" fillId="2" borderId="19" xfId="0" applyNumberFormat="1" applyFill="1" applyBorder="1" applyAlignment="1">
      <alignment vertical="center"/>
    </xf>
    <xf numFmtId="0" fontId="0" fillId="4" borderId="9" xfId="0" applyFill="1" applyBorder="1" applyAlignment="1">
      <alignment vertical="center"/>
    </xf>
    <xf numFmtId="176" fontId="0" fillId="2" borderId="20" xfId="0" applyNumberFormat="1" applyFill="1" applyBorder="1" applyAlignment="1">
      <alignment vertical="center"/>
    </xf>
    <xf numFmtId="0" fontId="2" fillId="4" borderId="9" xfId="0" applyFont="1" applyFill="1" applyBorder="1" applyAlignment="1">
      <alignment vertical="center"/>
    </xf>
    <xf numFmtId="0" fontId="0" fillId="4" borderId="9" xfId="0" applyFill="1" applyBorder="1" applyAlignment="1">
      <alignment vertical="center" wrapText="1"/>
    </xf>
    <xf numFmtId="3" fontId="0" fillId="2" borderId="20" xfId="0" applyNumberFormat="1" applyFill="1" applyBorder="1" applyAlignment="1">
      <alignment vertical="center"/>
    </xf>
    <xf numFmtId="0" fontId="0" fillId="4" borderId="21" xfId="0" applyFill="1" applyBorder="1" applyAlignment="1">
      <alignment vertical="center" wrapText="1"/>
    </xf>
    <xf numFmtId="3" fontId="0" fillId="2" borderId="22" xfId="0" applyNumberFormat="1" applyFill="1" applyBorder="1" applyAlignment="1">
      <alignment horizontal="right" vertical="center"/>
    </xf>
    <xf numFmtId="0" fontId="0" fillId="4" borderId="23" xfId="0" applyFill="1" applyBorder="1" applyAlignment="1">
      <alignment horizontal="center" vertical="center" wrapText="1"/>
    </xf>
    <xf numFmtId="3" fontId="0" fillId="2" borderId="8" xfId="0" applyNumberFormat="1" applyFill="1" applyBorder="1" applyAlignment="1">
      <alignment horizontal="center" vertical="center"/>
    </xf>
    <xf numFmtId="4" fontId="0" fillId="2" borderId="24" xfId="0" applyNumberFormat="1" applyFill="1" applyBorder="1" applyAlignment="1">
      <alignment horizontal="center" vertical="center"/>
    </xf>
    <xf numFmtId="3" fontId="0" fillId="2" borderId="11" xfId="0" applyNumberFormat="1" applyFill="1" applyBorder="1" applyAlignment="1">
      <alignment horizontal="center" vertical="center"/>
    </xf>
    <xf numFmtId="4" fontId="0" fillId="2" borderId="25" xfId="0" applyNumberFormat="1" applyFill="1" applyBorder="1" applyAlignment="1">
      <alignment horizontal="center" vertical="center"/>
    </xf>
    <xf numFmtId="3" fontId="0" fillId="2" borderId="14" xfId="0" applyNumberFormat="1" applyFill="1" applyBorder="1" applyAlignment="1">
      <alignment horizontal="center" vertical="center"/>
    </xf>
    <xf numFmtId="4" fontId="0" fillId="2" borderId="26" xfId="0" applyNumberFormat="1" applyFill="1" applyBorder="1" applyAlignment="1">
      <alignment horizontal="center" vertical="center"/>
    </xf>
    <xf numFmtId="3" fontId="0" fillId="2" borderId="17" xfId="0" applyNumberFormat="1" applyFill="1" applyBorder="1" applyAlignment="1">
      <alignment horizontal="center" vertical="center"/>
    </xf>
    <xf numFmtId="4" fontId="0" fillId="2" borderId="27" xfId="0" applyNumberFormat="1" applyFill="1" applyBorder="1" applyAlignment="1">
      <alignment horizontal="center" vertical="center"/>
    </xf>
    <xf numFmtId="3" fontId="0" fillId="2" borderId="0" xfId="0" applyNumberFormat="1" applyFill="1"/>
    <xf numFmtId="0" fontId="0" fillId="2" borderId="0" xfId="0" applyFill="1" applyAlignment="1" applyProtection="1">
      <alignment wrapText="1"/>
    </xf>
    <xf numFmtId="0" fontId="0" fillId="2" borderId="0" xfId="0" applyFill="1" applyProtection="1"/>
    <xf numFmtId="0" fontId="0" fillId="5" borderId="0" xfId="0" applyFill="1" applyProtection="1"/>
    <xf numFmtId="0" fontId="3" fillId="5" borderId="0" xfId="0" applyFont="1" applyFill="1" applyProtection="1"/>
    <xf numFmtId="0" fontId="4" fillId="6" borderId="0" xfId="0" applyFont="1" applyFill="1" applyAlignment="1" applyProtection="1">
      <alignment horizontal="center" vertical="center"/>
    </xf>
    <xf numFmtId="0" fontId="3" fillId="2" borderId="0" xfId="0" applyFont="1" applyFill="1" applyProtection="1"/>
    <xf numFmtId="0" fontId="5" fillId="3" borderId="28"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6" fillId="2" borderId="28"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7" fillId="2" borderId="28" xfId="0" applyFont="1" applyFill="1" applyBorder="1" applyAlignment="1" applyProtection="1">
      <alignment horizontal="left" vertical="top"/>
    </xf>
    <xf numFmtId="0" fontId="7" fillId="2" borderId="29" xfId="0" applyFont="1" applyFill="1" applyBorder="1" applyAlignment="1" applyProtection="1">
      <alignment horizontal="left" vertical="top"/>
    </xf>
    <xf numFmtId="0" fontId="6" fillId="2" borderId="31"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7" fillId="2" borderId="31"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6" fillId="2" borderId="33"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7" fillId="2" borderId="33" xfId="0" applyFont="1" applyFill="1" applyBorder="1" applyAlignment="1" applyProtection="1">
      <alignment horizontal="left" vertical="top"/>
    </xf>
    <xf numFmtId="0" fontId="7" fillId="2" borderId="34" xfId="0" applyFont="1" applyFill="1" applyBorder="1" applyAlignment="1" applyProtection="1">
      <alignment horizontal="left" vertical="top"/>
    </xf>
    <xf numFmtId="0" fontId="8" fillId="4" borderId="36" xfId="0" applyFont="1" applyFill="1" applyBorder="1" applyAlignment="1" applyProtection="1">
      <alignment horizontal="center" vertical="center" wrapText="1"/>
    </xf>
    <xf numFmtId="0" fontId="8" fillId="4" borderId="37" xfId="0" applyFont="1" applyFill="1" applyBorder="1" applyAlignment="1" applyProtection="1">
      <alignment horizontal="center" vertical="center" wrapText="1"/>
    </xf>
    <xf numFmtId="0" fontId="8" fillId="2" borderId="0" xfId="0" applyFont="1" applyFill="1" applyBorder="1" applyAlignment="1" applyProtection="1">
      <alignment vertical="center"/>
    </xf>
    <xf numFmtId="0" fontId="3" fillId="2" borderId="0" xfId="0" applyFont="1" applyFill="1" applyAlignment="1" applyProtection="1">
      <alignment wrapText="1"/>
    </xf>
    <xf numFmtId="0" fontId="3" fillId="2" borderId="38" xfId="0" applyFont="1" applyFill="1" applyBorder="1" applyAlignment="1" applyProtection="1">
      <alignment horizontal="left" vertical="center" wrapText="1"/>
    </xf>
    <xf numFmtId="0" fontId="3" fillId="2" borderId="39"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179" fontId="3" fillId="2" borderId="40" xfId="8" applyNumberFormat="1" applyFont="1" applyFill="1" applyBorder="1" applyAlignment="1" applyProtection="1">
      <alignment horizontal="center" vertical="center" wrapText="1"/>
    </xf>
    <xf numFmtId="179" fontId="3" fillId="2" borderId="39" xfId="8" applyNumberFormat="1" applyFont="1" applyFill="1" applyBorder="1" applyAlignment="1" applyProtection="1">
      <alignment horizontal="center" vertical="center" wrapText="1"/>
    </xf>
    <xf numFmtId="0" fontId="9" fillId="2" borderId="0" xfId="0" applyFont="1" applyFill="1" applyAlignment="1" applyProtection="1">
      <alignment wrapText="1"/>
    </xf>
    <xf numFmtId="0" fontId="3" fillId="6" borderId="38" xfId="0" applyFont="1" applyFill="1" applyBorder="1" applyAlignment="1" applyProtection="1">
      <alignment horizontal="left" vertical="center" wrapText="1"/>
    </xf>
    <xf numFmtId="0" fontId="3" fillId="6" borderId="32" xfId="0" applyFont="1" applyFill="1" applyBorder="1" applyAlignment="1" applyProtection="1">
      <alignment horizontal="center" vertical="center" wrapText="1"/>
    </xf>
    <xf numFmtId="0" fontId="3" fillId="6" borderId="0" xfId="0" applyFont="1" applyFill="1" applyBorder="1" applyAlignment="1" applyProtection="1">
      <alignment vertical="center" wrapText="1"/>
    </xf>
    <xf numFmtId="0" fontId="3" fillId="6" borderId="39"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wrapText="1"/>
    </xf>
    <xf numFmtId="176" fontId="3" fillId="2" borderId="40" xfId="0" applyNumberFormat="1" applyFont="1" applyFill="1" applyBorder="1" applyAlignment="1" applyProtection="1">
      <alignment horizontal="center" vertical="center" wrapText="1"/>
    </xf>
    <xf numFmtId="0" fontId="3" fillId="2" borderId="41" xfId="0" applyFont="1" applyFill="1" applyBorder="1" applyAlignment="1" applyProtection="1">
      <alignment horizontal="left" vertical="center" wrapText="1"/>
    </xf>
    <xf numFmtId="180" fontId="3" fillId="2" borderId="42" xfId="0" applyNumberFormat="1" applyFont="1" applyFill="1" applyBorder="1" applyAlignment="1" applyProtection="1">
      <alignment horizontal="center" vertical="center" wrapText="1"/>
    </xf>
    <xf numFmtId="0" fontId="3" fillId="2" borderId="43" xfId="0" applyFont="1" applyFill="1" applyBorder="1" applyAlignment="1" applyProtection="1">
      <alignment horizontal="left" vertical="center" wrapText="1"/>
    </xf>
    <xf numFmtId="179" fontId="3" fillId="2" borderId="44" xfId="8" applyNumberFormat="1" applyFont="1" applyFill="1" applyBorder="1" applyAlignment="1" applyProtection="1">
      <alignment horizontal="center" vertical="center" wrapText="1"/>
    </xf>
    <xf numFmtId="0" fontId="3" fillId="2" borderId="45" xfId="0" applyFont="1" applyFill="1" applyBorder="1" applyAlignment="1" applyProtection="1">
      <alignment horizontal="left" vertical="center" wrapText="1"/>
    </xf>
    <xf numFmtId="179" fontId="3" fillId="2" borderId="46" xfId="8" applyNumberFormat="1" applyFont="1" applyFill="1" applyBorder="1" applyAlignment="1" applyProtection="1">
      <alignment horizontal="center" vertical="center" wrapText="1"/>
    </xf>
    <xf numFmtId="0" fontId="3" fillId="2" borderId="29" xfId="0" applyFont="1" applyFill="1" applyBorder="1" applyAlignment="1" applyProtection="1">
      <alignment horizontal="right" vertical="center" wrapText="1"/>
    </xf>
    <xf numFmtId="0" fontId="3" fillId="2" borderId="29" xfId="0" applyFont="1" applyFill="1" applyBorder="1" applyAlignment="1" applyProtection="1">
      <alignment vertical="center" wrapText="1"/>
    </xf>
    <xf numFmtId="1" fontId="3" fillId="2" borderId="29" xfId="0" applyNumberFormat="1" applyFont="1" applyFill="1" applyBorder="1" applyAlignment="1" applyProtection="1">
      <alignment horizontal="right" vertical="center" wrapText="1"/>
    </xf>
    <xf numFmtId="0" fontId="9" fillId="2" borderId="0" xfId="0" applyFont="1" applyFill="1" applyAlignment="1" applyProtection="1">
      <alignment horizontal="left" wrapText="1"/>
    </xf>
    <xf numFmtId="0" fontId="10" fillId="2" borderId="0" xfId="0" applyFont="1" applyFill="1" applyProtection="1"/>
    <xf numFmtId="0" fontId="0" fillId="0" borderId="0" xfId="0" applyAlignment="1" applyProtection="1"/>
    <xf numFmtId="0" fontId="3" fillId="2" borderId="36" xfId="0" applyFont="1" applyFill="1"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7" xfId="0" applyBorder="1" applyAlignment="1" applyProtection="1">
      <protection locked="0"/>
    </xf>
    <xf numFmtId="0" fontId="3" fillId="2" borderId="36" xfId="0" applyFont="1" applyFill="1" applyBorder="1" applyAlignment="1" applyProtection="1">
      <alignment wrapText="1"/>
      <protection locked="0"/>
    </xf>
    <xf numFmtId="0" fontId="0" fillId="0" borderId="47" xfId="0" applyBorder="1" applyAlignment="1" applyProtection="1">
      <alignment wrapText="1"/>
      <protection locked="0"/>
    </xf>
    <xf numFmtId="0" fontId="5" fillId="3" borderId="30" xfId="0" applyFont="1" applyFill="1" applyBorder="1" applyAlignment="1" applyProtection="1">
      <alignment horizontal="center" vertical="center"/>
    </xf>
    <xf numFmtId="0" fontId="5" fillId="3" borderId="28" xfId="0" applyFont="1" applyFill="1" applyBorder="1" applyAlignment="1" applyProtection="1">
      <alignment horizontal="center"/>
    </xf>
    <xf numFmtId="0" fontId="5" fillId="3" borderId="30" xfId="0" applyFont="1" applyFill="1" applyBorder="1" applyAlignment="1" applyProtection="1">
      <alignment horizontal="center"/>
    </xf>
    <xf numFmtId="0" fontId="7" fillId="2" borderId="30" xfId="0" applyFont="1" applyFill="1" applyBorder="1" applyAlignment="1" applyProtection="1">
      <alignment horizontal="left" vertical="top"/>
    </xf>
    <xf numFmtId="0" fontId="5" fillId="3" borderId="33" xfId="0" applyFont="1" applyFill="1" applyBorder="1" applyAlignment="1" applyProtection="1">
      <alignment horizontal="center"/>
    </xf>
    <xf numFmtId="0" fontId="5" fillId="3" borderId="35" xfId="0" applyFont="1" applyFill="1" applyBorder="1" applyAlignment="1" applyProtection="1">
      <alignment horizontal="center"/>
    </xf>
    <xf numFmtId="0" fontId="7" fillId="2" borderId="32" xfId="0" applyFont="1" applyFill="1" applyBorder="1" applyAlignment="1" applyProtection="1">
      <alignment horizontal="left" vertical="top"/>
    </xf>
    <xf numFmtId="0" fontId="3" fillId="2" borderId="48" xfId="0" applyFont="1" applyFill="1" applyBorder="1" applyAlignment="1" applyProtection="1">
      <alignment horizontal="left" vertical="center"/>
    </xf>
    <xf numFmtId="2" fontId="3" fillId="2" borderId="49" xfId="0" applyNumberFormat="1" applyFont="1" applyFill="1" applyBorder="1" applyAlignment="1" applyProtection="1">
      <alignment horizontal="center" vertical="center"/>
    </xf>
    <xf numFmtId="0" fontId="7" fillId="2" borderId="35" xfId="0" applyFont="1" applyFill="1" applyBorder="1" applyAlignment="1" applyProtection="1">
      <alignment horizontal="left" vertical="top"/>
    </xf>
    <xf numFmtId="0" fontId="3" fillId="2" borderId="50" xfId="0" applyFont="1" applyFill="1" applyBorder="1" applyAlignment="1" applyProtection="1">
      <alignment horizontal="left" vertical="center"/>
    </xf>
    <xf numFmtId="2" fontId="3" fillId="2" borderId="51" xfId="0" applyNumberFormat="1" applyFont="1" applyFill="1" applyBorder="1" applyAlignment="1" applyProtection="1">
      <alignment horizontal="center" vertical="center"/>
    </xf>
    <xf numFmtId="0" fontId="3" fillId="2" borderId="50" xfId="0" applyFont="1" applyFill="1" applyBorder="1" applyAlignment="1" applyProtection="1">
      <alignment horizontal="left" vertical="center" wrapText="1"/>
    </xf>
    <xf numFmtId="176" fontId="3" fillId="2" borderId="51" xfId="0" applyNumberFormat="1" applyFont="1" applyFill="1" applyBorder="1" applyAlignment="1" applyProtection="1">
      <alignment horizontal="center" vertical="center"/>
    </xf>
    <xf numFmtId="0" fontId="3" fillId="2" borderId="52" xfId="0" applyFont="1" applyFill="1" applyBorder="1" applyAlignment="1" applyProtection="1">
      <alignment horizontal="left" vertical="center"/>
    </xf>
    <xf numFmtId="180" fontId="3" fillId="2" borderId="53" xfId="0" applyNumberFormat="1" applyFont="1" applyFill="1" applyBorder="1" applyAlignment="1" applyProtection="1">
      <alignment horizontal="center" vertical="center"/>
    </xf>
    <xf numFmtId="0" fontId="3" fillId="2" borderId="54" xfId="0" applyFont="1" applyFill="1" applyBorder="1" applyAlignment="1" applyProtection="1">
      <alignment horizontal="left" vertical="center"/>
    </xf>
    <xf numFmtId="2" fontId="3" fillId="2" borderId="55" xfId="0" applyNumberFormat="1" applyFont="1" applyFill="1" applyBorder="1" applyAlignment="1" applyProtection="1">
      <alignment horizontal="center" vertical="center"/>
    </xf>
    <xf numFmtId="0" fontId="3" fillId="2" borderId="56" xfId="0" applyFont="1" applyFill="1" applyBorder="1" applyAlignment="1" applyProtection="1">
      <alignment horizontal="left" vertical="center"/>
    </xf>
    <xf numFmtId="180" fontId="3" fillId="2" borderId="57" xfId="0" applyNumberFormat="1" applyFont="1" applyFill="1" applyBorder="1" applyAlignment="1" applyProtection="1">
      <alignment horizontal="center" vertical="center"/>
    </xf>
    <xf numFmtId="11" fontId="3" fillId="2" borderId="55" xfId="0" applyNumberFormat="1" applyFont="1" applyFill="1" applyBorder="1" applyAlignment="1" applyProtection="1">
      <alignment horizontal="center" vertical="center"/>
    </xf>
    <xf numFmtId="0" fontId="3" fillId="2" borderId="51" xfId="0" applyFont="1" applyFill="1" applyBorder="1" applyAlignment="1" applyProtection="1">
      <alignment horizontal="center" vertical="center"/>
    </xf>
    <xf numFmtId="0" fontId="3" fillId="2" borderId="52" xfId="0" applyFont="1" applyFill="1" applyBorder="1" applyAlignment="1" applyProtection="1">
      <alignment horizontal="left" vertical="center" wrapText="1"/>
    </xf>
    <xf numFmtId="176" fontId="3" fillId="2" borderId="53" xfId="0" applyNumberFormat="1" applyFont="1" applyFill="1" applyBorder="1" applyAlignment="1" applyProtection="1">
      <alignment horizontal="center" vertical="center"/>
    </xf>
    <xf numFmtId="0" fontId="3" fillId="2" borderId="58" xfId="0" applyFont="1" applyFill="1" applyBorder="1" applyAlignment="1" applyProtection="1">
      <alignment horizontal="left" vertical="center" wrapText="1"/>
    </xf>
    <xf numFmtId="179" fontId="3" fillId="2" borderId="59" xfId="8" applyNumberFormat="1" applyFont="1" applyFill="1" applyBorder="1" applyAlignment="1" applyProtection="1">
      <alignment horizontal="center" vertical="center"/>
    </xf>
    <xf numFmtId="0" fontId="3" fillId="2" borderId="60" xfId="0" applyFont="1" applyFill="1" applyBorder="1" applyAlignment="1" applyProtection="1">
      <alignment horizontal="left" vertical="center" wrapText="1"/>
    </xf>
    <xf numFmtId="179" fontId="3" fillId="2" borderId="61" xfId="8" applyNumberFormat="1" applyFont="1" applyFill="1" applyBorder="1" applyAlignment="1" applyProtection="1">
      <alignment horizontal="center" vertical="center"/>
    </xf>
    <xf numFmtId="0" fontId="0" fillId="0" borderId="37" xfId="0" applyBorder="1" applyAlignment="1" applyProtection="1">
      <protection locked="0"/>
    </xf>
    <xf numFmtId="0" fontId="3" fillId="2" borderId="28" xfId="0" applyFont="1" applyFill="1" applyBorder="1" applyAlignment="1" applyProtection="1">
      <alignment horizontal="left" vertical="top"/>
      <protection locked="0"/>
    </xf>
    <xf numFmtId="0" fontId="3" fillId="2" borderId="29" xfId="0" applyFont="1" applyFill="1" applyBorder="1" applyAlignment="1" applyProtection="1">
      <alignment horizontal="left" vertical="top"/>
      <protection locked="0"/>
    </xf>
    <xf numFmtId="0" fontId="3" fillId="2" borderId="30" xfId="0" applyFont="1" applyFill="1" applyBorder="1" applyAlignment="1" applyProtection="1">
      <alignment horizontal="left" vertical="top"/>
      <protection locked="0"/>
    </xf>
    <xf numFmtId="0" fontId="3" fillId="2" borderId="31"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32" xfId="0" applyFont="1" applyFill="1" applyBorder="1" applyAlignment="1" applyProtection="1">
      <alignment horizontal="left" vertical="top"/>
      <protection locked="0"/>
    </xf>
    <xf numFmtId="0" fontId="3" fillId="2" borderId="33" xfId="0" applyFont="1" applyFill="1" applyBorder="1" applyAlignment="1" applyProtection="1">
      <alignment horizontal="left" vertical="top"/>
      <protection locked="0"/>
    </xf>
    <xf numFmtId="0" fontId="3" fillId="2" borderId="34" xfId="0" applyFont="1" applyFill="1" applyBorder="1" applyAlignment="1" applyProtection="1">
      <alignment horizontal="left" vertical="top"/>
      <protection locked="0"/>
    </xf>
    <xf numFmtId="0" fontId="3" fillId="2" borderId="35" xfId="0" applyFont="1" applyFill="1" applyBorder="1" applyAlignment="1" applyProtection="1">
      <alignment horizontal="left" vertical="top"/>
      <protection locked="0"/>
    </xf>
    <xf numFmtId="0" fontId="0" fillId="2" borderId="58" xfId="0" applyFill="1" applyBorder="1" applyAlignment="1">
      <alignment wrapText="1"/>
    </xf>
    <xf numFmtId="0" fontId="0" fillId="2" borderId="62" xfId="0" applyFill="1" applyBorder="1" applyAlignment="1">
      <alignment horizontal="left"/>
    </xf>
    <xf numFmtId="0" fontId="0" fillId="2" borderId="50" xfId="0" applyFill="1" applyBorder="1" applyAlignment="1">
      <alignment wrapText="1"/>
    </xf>
    <xf numFmtId="0" fontId="0" fillId="2" borderId="51" xfId="0" applyFill="1" applyBorder="1" applyAlignment="1">
      <alignment horizontal="left"/>
    </xf>
    <xf numFmtId="3" fontId="0" fillId="2" borderId="51" xfId="0" applyNumberFormat="1" applyFill="1" applyBorder="1" applyAlignment="1">
      <alignment horizontal="left"/>
    </xf>
    <xf numFmtId="0" fontId="2" fillId="2" borderId="50" xfId="0" applyFont="1" applyFill="1" applyBorder="1" applyAlignment="1">
      <alignment wrapText="1"/>
    </xf>
    <xf numFmtId="181" fontId="0" fillId="2" borderId="51" xfId="0" applyNumberFormat="1" applyFill="1" applyBorder="1" applyAlignment="1">
      <alignment horizontal="left"/>
    </xf>
    <xf numFmtId="1" fontId="0" fillId="2" borderId="51" xfId="0" applyNumberFormat="1" applyFill="1" applyBorder="1" applyAlignment="1">
      <alignment horizontal="left"/>
    </xf>
    <xf numFmtId="0" fontId="0" fillId="2" borderId="60" xfId="0" applyFill="1" applyBorder="1" applyAlignment="1">
      <alignment wrapText="1"/>
    </xf>
    <xf numFmtId="1" fontId="0" fillId="2" borderId="63" xfId="0" applyNumberFormat="1" applyFill="1" applyBorder="1" applyAlignment="1">
      <alignment horizontal="left"/>
    </xf>
    <xf numFmtId="0" fontId="0" fillId="2" borderId="58" xfId="0" applyFill="1" applyBorder="1"/>
    <xf numFmtId="2" fontId="0" fillId="2" borderId="62" xfId="0" applyNumberFormat="1" applyFill="1" applyBorder="1" applyAlignment="1">
      <alignment horizontal="left"/>
    </xf>
    <xf numFmtId="0" fontId="0" fillId="2" borderId="50" xfId="0" applyFill="1" applyBorder="1"/>
    <xf numFmtId="2" fontId="0" fillId="2" borderId="51" xfId="0" applyNumberFormat="1" applyFill="1" applyBorder="1" applyAlignment="1">
      <alignment horizontal="left"/>
    </xf>
    <xf numFmtId="182" fontId="0" fillId="2" borderId="51" xfId="0" applyNumberFormat="1" applyFill="1" applyBorder="1" applyAlignment="1">
      <alignment horizontal="left"/>
    </xf>
    <xf numFmtId="0" fontId="0" fillId="2" borderId="60" xfId="0" applyFill="1" applyBorder="1"/>
    <xf numFmtId="183" fontId="0" fillId="2" borderId="51" xfId="0" applyNumberFormat="1" applyFill="1" applyBorder="1" applyAlignment="1">
      <alignment horizontal="left"/>
    </xf>
    <xf numFmtId="11" fontId="0" fillId="2" borderId="62" xfId="0" applyNumberFormat="1" applyFill="1" applyBorder="1" applyAlignment="1">
      <alignment horizontal="left"/>
    </xf>
    <xf numFmtId="183" fontId="0" fillId="2" borderId="63" xfId="0" applyNumberFormat="1" applyFill="1" applyBorder="1" applyAlignment="1">
      <alignment horizontal="left"/>
    </xf>
    <xf numFmtId="0" fontId="2" fillId="2" borderId="60" xfId="0" applyFont="1" applyFill="1" applyBorder="1" applyAlignment="1">
      <alignment wrapText="1"/>
    </xf>
    <xf numFmtId="182" fontId="0" fillId="2" borderId="63" xfId="0" applyNumberFormat="1" applyFill="1" applyBorder="1" applyAlignment="1">
      <alignment horizontal="left"/>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0" fillId="2" borderId="58" xfId="0" applyFill="1" applyBorder="1" applyAlignment="1">
      <alignment vertical="center" wrapText="1"/>
    </xf>
    <xf numFmtId="2" fontId="0" fillId="2" borderId="62" xfId="0" applyNumberFormat="1" applyFill="1" applyBorder="1" applyAlignment="1">
      <alignment vertical="center" wrapText="1"/>
    </xf>
    <xf numFmtId="0" fontId="2" fillId="2" borderId="50" xfId="0" applyFont="1" applyFill="1" applyBorder="1" applyAlignment="1">
      <alignment vertical="center" wrapText="1"/>
    </xf>
    <xf numFmtId="183" fontId="0" fillId="2" borderId="51" xfId="0" applyNumberFormat="1" applyFill="1" applyBorder="1" applyAlignment="1">
      <alignment vertical="center"/>
    </xf>
    <xf numFmtId="0" fontId="13" fillId="3" borderId="1"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0" fillId="2" borderId="60" xfId="0" applyFill="1" applyBorder="1" applyAlignment="1">
      <alignment vertical="center" wrapText="1"/>
    </xf>
    <xf numFmtId="183" fontId="0" fillId="2" borderId="63" xfId="0" applyNumberFormat="1" applyFill="1" applyBorder="1" applyAlignment="1">
      <alignment vertical="center"/>
    </xf>
    <xf numFmtId="0" fontId="0" fillId="4" borderId="64" xfId="0" applyFill="1" applyBorder="1" applyAlignment="1" applyProtection="1">
      <alignment horizontal="center" vertical="center"/>
      <protection locked="0"/>
    </xf>
    <xf numFmtId="0" fontId="0" fillId="4" borderId="65" xfId="0" applyFill="1" applyBorder="1" applyAlignment="1" applyProtection="1">
      <alignment horizontal="center" vertical="center"/>
      <protection locked="0"/>
    </xf>
    <xf numFmtId="0" fontId="0" fillId="2" borderId="66" xfId="0" applyFill="1" applyBorder="1" applyAlignment="1" applyProtection="1">
      <alignment vertical="center"/>
      <protection locked="0"/>
    </xf>
    <xf numFmtId="2" fontId="0" fillId="2" borderId="62" xfId="0" applyNumberFormat="1" applyFill="1" applyBorder="1" applyAlignment="1">
      <alignment vertical="center"/>
    </xf>
    <xf numFmtId="0" fontId="0" fillId="2" borderId="67" xfId="0" applyFill="1" applyBorder="1" applyAlignment="1" applyProtection="1">
      <alignment horizontal="right" vertical="center"/>
      <protection locked="0"/>
    </xf>
    <xf numFmtId="0" fontId="0" fillId="2" borderId="68" xfId="0" applyFill="1" applyBorder="1" applyAlignment="1" applyProtection="1">
      <alignment horizontal="right" vertical="center"/>
      <protection locked="0"/>
    </xf>
    <xf numFmtId="0" fontId="0" fillId="2" borderId="69" xfId="0" applyFill="1" applyBorder="1" applyAlignment="1" applyProtection="1">
      <alignment vertical="center"/>
      <protection locked="0"/>
    </xf>
    <xf numFmtId="0" fontId="0" fillId="2" borderId="70" xfId="0" applyFill="1" applyBorder="1" applyAlignment="1" applyProtection="1">
      <alignment horizontal="right" vertical="center"/>
      <protection locked="0"/>
    </xf>
    <xf numFmtId="0" fontId="0" fillId="2" borderId="71" xfId="0" applyFill="1" applyBorder="1" applyAlignment="1" applyProtection="1">
      <alignment horizontal="right" vertical="center"/>
      <protection locked="0"/>
    </xf>
    <xf numFmtId="11" fontId="0" fillId="2" borderId="71" xfId="0" applyNumberFormat="1" applyFill="1" applyBorder="1" applyAlignment="1" applyProtection="1">
      <alignment horizontal="right" vertical="center"/>
      <protection locked="0"/>
    </xf>
    <xf numFmtId="0" fontId="0" fillId="2" borderId="0" xfId="0" applyFill="1" applyBorder="1" applyAlignment="1" applyProtection="1">
      <alignment vertical="center"/>
      <protection locked="0"/>
    </xf>
    <xf numFmtId="0" fontId="0" fillId="2" borderId="58" xfId="0" applyFill="1" applyBorder="1" applyAlignment="1">
      <alignment vertical="center"/>
    </xf>
    <xf numFmtId="2" fontId="0" fillId="2" borderId="71" xfId="0" applyNumberFormat="1" applyFill="1" applyBorder="1" applyAlignment="1" applyProtection="1">
      <alignment horizontal="right" vertical="center"/>
      <protection locked="0"/>
    </xf>
    <xf numFmtId="0" fontId="0" fillId="2" borderId="50" xfId="0" applyFill="1" applyBorder="1" applyAlignment="1">
      <alignment vertical="center"/>
    </xf>
    <xf numFmtId="182" fontId="0" fillId="2" borderId="51" xfId="0" applyNumberFormat="1" applyFill="1" applyBorder="1" applyAlignment="1">
      <alignment vertical="center"/>
    </xf>
    <xf numFmtId="1" fontId="0" fillId="2" borderId="71" xfId="0" applyNumberFormat="1" applyFill="1" applyBorder="1" applyAlignment="1" applyProtection="1">
      <alignment horizontal="right" vertical="center"/>
      <protection locked="0"/>
    </xf>
    <xf numFmtId="0" fontId="0" fillId="2" borderId="45" xfId="0" applyFill="1" applyBorder="1" applyAlignment="1" applyProtection="1">
      <alignment horizontal="right" vertical="center"/>
      <protection locked="0"/>
    </xf>
    <xf numFmtId="0" fontId="0" fillId="2" borderId="72" xfId="0" applyFill="1" applyBorder="1" applyAlignment="1" applyProtection="1">
      <alignment horizontal="right" vertical="center"/>
      <protection locked="0"/>
    </xf>
    <xf numFmtId="0" fontId="0" fillId="2" borderId="34" xfId="0" applyFill="1" applyBorder="1" applyAlignment="1" applyProtection="1">
      <alignment vertical="center"/>
      <protection locked="0"/>
    </xf>
    <xf numFmtId="0" fontId="0" fillId="2" borderId="60" xfId="0" applyFill="1" applyBorder="1" applyAlignment="1">
      <alignment vertical="center"/>
    </xf>
    <xf numFmtId="0" fontId="0" fillId="2" borderId="62" xfId="0" applyFill="1" applyBorder="1" applyAlignment="1">
      <alignment vertical="center"/>
    </xf>
    <xf numFmtId="1" fontId="0" fillId="2" borderId="51" xfId="0" applyNumberFormat="1" applyFill="1" applyBorder="1" applyAlignment="1">
      <alignment vertical="center"/>
    </xf>
    <xf numFmtId="1" fontId="0" fillId="2" borderId="63" xfId="0" applyNumberFormat="1" applyFill="1" applyBorder="1" applyAlignment="1">
      <alignment vertical="center"/>
    </xf>
    <xf numFmtId="0" fontId="13" fillId="3" borderId="18" xfId="0" applyFont="1" applyFill="1" applyBorder="1" applyAlignment="1" applyProtection="1">
      <alignment horizontal="center" vertical="center"/>
      <protection locked="0"/>
    </xf>
    <xf numFmtId="0" fontId="0" fillId="4" borderId="73" xfId="0" applyFill="1" applyBorder="1" applyAlignment="1" applyProtection="1">
      <alignment horizontal="center" vertical="center"/>
      <protection locked="0"/>
    </xf>
    <xf numFmtId="0" fontId="0" fillId="4" borderId="74" xfId="0" applyFill="1" applyBorder="1" applyAlignment="1" applyProtection="1">
      <alignment horizontal="center" vertical="center"/>
      <protection locked="0"/>
    </xf>
    <xf numFmtId="0" fontId="0" fillId="2" borderId="75" xfId="0" applyFill="1" applyBorder="1" applyAlignment="1" applyProtection="1">
      <alignment horizontal="right" vertical="center"/>
      <protection locked="0"/>
    </xf>
    <xf numFmtId="0" fontId="0" fillId="2" borderId="76" xfId="0" applyFill="1" applyBorder="1" applyAlignment="1" applyProtection="1">
      <alignment horizontal="right" vertical="center"/>
      <protection locked="0"/>
    </xf>
    <xf numFmtId="0" fontId="0" fillId="2" borderId="77" xfId="0" applyFill="1" applyBorder="1" applyAlignment="1" applyProtection="1">
      <alignment horizontal="right" vertical="center"/>
      <protection locked="0"/>
    </xf>
    <xf numFmtId="0" fontId="0" fillId="2" borderId="40" xfId="0" applyFill="1" applyBorder="1" applyAlignment="1" applyProtection="1">
      <alignment horizontal="right" vertical="center"/>
      <protection locked="0"/>
    </xf>
    <xf numFmtId="11" fontId="0" fillId="2" borderId="40" xfId="0" applyNumberFormat="1" applyFill="1" applyBorder="1" applyAlignment="1" applyProtection="1">
      <alignment horizontal="right" vertical="center"/>
      <protection locked="0"/>
    </xf>
    <xf numFmtId="2" fontId="0" fillId="2" borderId="40" xfId="0" applyNumberFormat="1" applyFill="1" applyBorder="1" applyAlignment="1" applyProtection="1">
      <alignment horizontal="right" vertical="center"/>
      <protection locked="0"/>
    </xf>
    <xf numFmtId="1" fontId="0" fillId="2" borderId="40" xfId="0" applyNumberFormat="1" applyFill="1" applyBorder="1" applyAlignment="1" applyProtection="1">
      <alignment horizontal="right" vertical="center"/>
      <protection locked="0"/>
    </xf>
    <xf numFmtId="0" fontId="0" fillId="2" borderId="78" xfId="0" applyFill="1" applyBorder="1" applyAlignment="1" applyProtection="1">
      <alignment horizontal="right" vertical="center"/>
      <protection locked="0"/>
    </xf>
    <xf numFmtId="0" fontId="0" fillId="2" borderId="46" xfId="0" applyFill="1" applyBorder="1" applyAlignment="1" applyProtection="1">
      <alignment horizontal="right" vertical="center"/>
      <protection locked="0"/>
    </xf>
    <xf numFmtId="0" fontId="3" fillId="2" borderId="0" xfId="0" applyFont="1" applyFill="1" applyAlignment="1" applyProtection="1">
      <alignment horizontal="center" vertical="center"/>
    </xf>
    <xf numFmtId="0" fontId="3" fillId="2" borderId="0" xfId="0" applyFont="1" applyFill="1" applyAlignment="1" applyProtection="1">
      <alignment horizontal="center"/>
    </xf>
    <xf numFmtId="0" fontId="14" fillId="2" borderId="0" xfId="0" applyFont="1" applyFill="1" applyAlignment="1" applyProtection="1">
      <alignment horizontal="center" vertical="center"/>
    </xf>
    <xf numFmtId="0" fontId="15" fillId="5" borderId="0" xfId="0" applyFont="1" applyFill="1" applyProtection="1"/>
    <xf numFmtId="0" fontId="15" fillId="7" borderId="0" xfId="0" applyFont="1" applyFill="1" applyBorder="1" applyProtection="1"/>
    <xf numFmtId="0" fontId="16" fillId="7" borderId="0" xfId="0" applyFont="1" applyFill="1" applyBorder="1" applyAlignment="1" applyProtection="1">
      <alignment horizontal="left" vertical="top" wrapText="1"/>
    </xf>
    <xf numFmtId="0" fontId="16" fillId="7" borderId="0" xfId="0" applyFont="1" applyFill="1" applyBorder="1" applyAlignment="1" applyProtection="1">
      <alignment horizontal="left" vertical="top"/>
    </xf>
    <xf numFmtId="0" fontId="16" fillId="5" borderId="0" xfId="0" applyFont="1" applyFill="1" applyBorder="1" applyAlignment="1" applyProtection="1">
      <alignment horizontal="left" vertical="top"/>
    </xf>
    <xf numFmtId="0" fontId="17" fillId="2" borderId="0" xfId="0" applyFont="1" applyFill="1" applyBorder="1" applyAlignment="1" applyProtection="1">
      <alignment horizontal="center" vertical="center"/>
    </xf>
    <xf numFmtId="0" fontId="18" fillId="2" borderId="0" xfId="0" applyFont="1" applyFill="1" applyAlignment="1" applyProtection="1"/>
    <xf numFmtId="0" fontId="3" fillId="5"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9" fillId="3" borderId="36" xfId="0" applyFont="1" applyFill="1" applyBorder="1" applyAlignment="1" applyProtection="1">
      <alignment horizontal="center" vertical="center"/>
    </xf>
    <xf numFmtId="0" fontId="20" fillId="3" borderId="37" xfId="0" applyFont="1" applyFill="1" applyBorder="1" applyAlignment="1" applyProtection="1"/>
    <xf numFmtId="0" fontId="20" fillId="7" borderId="0" xfId="0" applyFont="1" applyFill="1" applyBorder="1" applyAlignment="1" applyProtection="1"/>
    <xf numFmtId="0" fontId="20" fillId="5" borderId="0" xfId="0" applyFont="1" applyFill="1" applyBorder="1" applyAlignment="1" applyProtection="1"/>
    <xf numFmtId="0" fontId="19" fillId="3" borderId="36" xfId="0" applyFont="1" applyFill="1" applyBorder="1" applyAlignment="1" applyProtection="1">
      <alignment horizontal="center" vertical="center" wrapText="1"/>
    </xf>
    <xf numFmtId="0" fontId="15" fillId="2" borderId="0" xfId="0" applyFont="1" applyFill="1" applyProtection="1"/>
    <xf numFmtId="0" fontId="15" fillId="2" borderId="28" xfId="0" applyNumberFormat="1" applyFont="1" applyFill="1" applyBorder="1" applyAlignment="1" applyProtection="1">
      <alignment horizontal="left" vertical="top" wrapText="1"/>
    </xf>
    <xf numFmtId="0" fontId="15" fillId="2" borderId="30" xfId="0" applyNumberFormat="1" applyFont="1" applyFill="1" applyBorder="1" applyAlignment="1" applyProtection="1">
      <alignment horizontal="left" vertical="top" wrapText="1"/>
    </xf>
    <xf numFmtId="0" fontId="0" fillId="7" borderId="0" xfId="0" applyNumberFormat="1" applyFill="1" applyBorder="1" applyAlignment="1" applyProtection="1"/>
    <xf numFmtId="0" fontId="0" fillId="5" borderId="0" xfId="0" applyNumberFormat="1" applyFill="1" applyBorder="1" applyAlignment="1" applyProtection="1"/>
    <xf numFmtId="0" fontId="15" fillId="8" borderId="28" xfId="0" applyFont="1" applyFill="1" applyBorder="1" applyAlignment="1" applyProtection="1">
      <alignment horizontal="left" vertical="top" wrapText="1"/>
      <protection locked="0"/>
    </xf>
    <xf numFmtId="0" fontId="15" fillId="2" borderId="31" xfId="0" applyNumberFormat="1" applyFont="1" applyFill="1" applyBorder="1" applyAlignment="1" applyProtection="1">
      <alignment horizontal="left" vertical="top" wrapText="1"/>
    </xf>
    <xf numFmtId="0" fontId="15" fillId="2" borderId="32" xfId="0" applyNumberFormat="1" applyFont="1" applyFill="1" applyBorder="1" applyAlignment="1" applyProtection="1">
      <alignment horizontal="left" vertical="top" wrapText="1"/>
    </xf>
    <xf numFmtId="0" fontId="15" fillId="0" borderId="31" xfId="0" applyFont="1" applyBorder="1" applyAlignment="1" applyProtection="1">
      <alignment horizontal="left" vertical="top" wrapText="1"/>
      <protection locked="0"/>
    </xf>
    <xf numFmtId="0" fontId="15" fillId="0" borderId="33" xfId="0" applyFont="1" applyBorder="1" applyAlignment="1" applyProtection="1">
      <alignment horizontal="left" vertical="top" wrapText="1"/>
      <protection locked="0"/>
    </xf>
    <xf numFmtId="0" fontId="15" fillId="2" borderId="79" xfId="0" applyFont="1" applyFill="1" applyBorder="1" applyAlignment="1" applyProtection="1">
      <alignment vertical="center"/>
    </xf>
    <xf numFmtId="0" fontId="15" fillId="2" borderId="80" xfId="0" applyFont="1" applyFill="1" applyBorder="1" applyAlignment="1" applyProtection="1">
      <alignment vertical="center"/>
    </xf>
    <xf numFmtId="0" fontId="15" fillId="2" borderId="81" xfId="0" applyFont="1" applyFill="1" applyBorder="1" applyAlignment="1" applyProtection="1">
      <alignment vertical="center"/>
    </xf>
    <xf numFmtId="0" fontId="21" fillId="2" borderId="29" xfId="0" applyFont="1" applyFill="1" applyBorder="1" applyAlignment="1" applyProtection="1">
      <alignment horizontal="left" vertical="top" wrapText="1"/>
    </xf>
    <xf numFmtId="0" fontId="21" fillId="2" borderId="0" xfId="0" applyFont="1" applyFill="1" applyAlignment="1" applyProtection="1">
      <alignment horizontal="left" vertical="top" wrapText="1"/>
    </xf>
    <xf numFmtId="0" fontId="15" fillId="2" borderId="0" xfId="0" applyFont="1" applyFill="1" applyAlignment="1" applyProtection="1">
      <alignment vertical="top" wrapText="1"/>
    </xf>
    <xf numFmtId="0" fontId="15" fillId="6" borderId="0" xfId="0" applyFont="1" applyFill="1" applyAlignment="1" applyProtection="1">
      <alignment vertical="top" wrapText="1"/>
    </xf>
    <xf numFmtId="0" fontId="15" fillId="5" borderId="0" xfId="0" applyFont="1" applyFill="1" applyAlignment="1" applyProtection="1">
      <alignment vertical="top" wrapText="1"/>
    </xf>
    <xf numFmtId="0" fontId="17" fillId="2" borderId="0" xfId="0" applyFont="1" applyFill="1" applyAlignment="1" applyProtection="1">
      <alignment horizontal="center" vertical="center"/>
    </xf>
    <xf numFmtId="0" fontId="15" fillId="2" borderId="82" xfId="0" applyFont="1" applyFill="1" applyBorder="1" applyAlignment="1" applyProtection="1">
      <alignment horizontal="left" vertical="center" wrapText="1"/>
    </xf>
    <xf numFmtId="0" fontId="15" fillId="2" borderId="80" xfId="0" applyFont="1" applyFill="1" applyBorder="1" applyAlignment="1" applyProtection="1">
      <alignment horizontal="left" vertical="center" wrapText="1"/>
    </xf>
    <xf numFmtId="0" fontId="15" fillId="2" borderId="81" xfId="0" applyFont="1" applyFill="1" applyBorder="1" applyAlignment="1" applyProtection="1">
      <alignment horizontal="left" vertical="center" wrapText="1"/>
    </xf>
    <xf numFmtId="0" fontId="15" fillId="6" borderId="0" xfId="0" applyFont="1" applyFill="1" applyProtection="1"/>
    <xf numFmtId="0" fontId="3" fillId="5" borderId="0" xfId="0" applyFont="1" applyFill="1" applyAlignment="1" applyProtection="1">
      <alignment wrapText="1"/>
    </xf>
    <xf numFmtId="0" fontId="17" fillId="2" borderId="0" xfId="0" applyFont="1" applyFill="1" applyAlignment="1" applyProtection="1">
      <alignment horizontal="center" vertical="center" wrapText="1"/>
    </xf>
    <xf numFmtId="0" fontId="0" fillId="0" borderId="31" xfId="0" applyBorder="1" applyAlignment="1" applyProtection="1"/>
    <xf numFmtId="0" fontId="0" fillId="0" borderId="32" xfId="0" applyBorder="1" applyAlignment="1" applyProtection="1"/>
    <xf numFmtId="0" fontId="15" fillId="2" borderId="82" xfId="0" applyFont="1" applyFill="1" applyBorder="1" applyAlignment="1" applyProtection="1">
      <alignment horizontal="left" wrapText="1"/>
    </xf>
    <xf numFmtId="0" fontId="0" fillId="0" borderId="33" xfId="0" applyBorder="1" applyAlignment="1" applyProtection="1"/>
    <xf numFmtId="0" fontId="0" fillId="0" borderId="35" xfId="0" applyBorder="1" applyAlignment="1" applyProtection="1"/>
    <xf numFmtId="0" fontId="15" fillId="2" borderId="81" xfId="0" applyFont="1" applyFill="1" applyBorder="1" applyAlignment="1" applyProtection="1">
      <alignment horizontal="left" wrapText="1"/>
    </xf>
    <xf numFmtId="0" fontId="22" fillId="2" borderId="0" xfId="0" applyFont="1" applyFill="1" applyProtection="1"/>
    <xf numFmtId="0" fontId="3" fillId="5" borderId="0" xfId="0" applyFont="1" applyFill="1" applyAlignment="1" applyProtection="1">
      <alignment horizontal="center"/>
    </xf>
    <xf numFmtId="0" fontId="15" fillId="5" borderId="0" xfId="0" applyFont="1" applyFill="1" applyAlignment="1" applyProtection="1">
      <alignment horizontal="center"/>
    </xf>
    <xf numFmtId="0" fontId="23" fillId="5" borderId="0" xfId="0" applyFont="1" applyFill="1" applyAlignment="1" applyProtection="1">
      <alignment horizontal="center"/>
    </xf>
    <xf numFmtId="0" fontId="20" fillId="0" borderId="37" xfId="0" applyFont="1" applyBorder="1" applyAlignment="1" applyProtection="1">
      <alignment horizontal="center" vertical="center" wrapText="1"/>
    </xf>
    <xf numFmtId="0" fontId="19" fillId="3" borderId="37" xfId="0" applyFont="1" applyFill="1" applyBorder="1" applyAlignment="1" applyProtection="1">
      <alignment horizontal="center" vertical="center" wrapText="1"/>
    </xf>
    <xf numFmtId="0" fontId="15" fillId="0" borderId="30" xfId="0" applyFont="1" applyBorder="1" applyAlignment="1" applyProtection="1">
      <alignment horizontal="left" vertical="top" wrapText="1"/>
      <protection locked="0"/>
    </xf>
    <xf numFmtId="0" fontId="15" fillId="9" borderId="83" xfId="0" applyFont="1" applyFill="1" applyBorder="1" applyAlignment="1" applyProtection="1">
      <alignment horizontal="center" vertical="center" wrapText="1"/>
    </xf>
    <xf numFmtId="0" fontId="15" fillId="2" borderId="0" xfId="0" applyFont="1" applyFill="1" applyAlignment="1" applyProtection="1">
      <alignment horizontal="center"/>
    </xf>
    <xf numFmtId="0" fontId="15" fillId="0" borderId="32" xfId="0" applyFont="1" applyBorder="1" applyAlignment="1" applyProtection="1">
      <alignment horizontal="left" vertical="top" wrapText="1"/>
      <protection locked="0"/>
    </xf>
    <xf numFmtId="0" fontId="15" fillId="8" borderId="84" xfId="0" applyFont="1" applyFill="1" applyBorder="1" applyAlignment="1" applyProtection="1">
      <alignment horizontal="center" vertical="center"/>
      <protection locked="0"/>
    </xf>
    <xf numFmtId="10" fontId="15" fillId="8" borderId="85" xfId="11" applyNumberFormat="1" applyFont="1" applyFill="1" applyBorder="1" applyAlignment="1" applyProtection="1">
      <alignment horizontal="center" vertical="center"/>
      <protection locked="0"/>
    </xf>
    <xf numFmtId="0" fontId="15" fillId="8" borderId="86" xfId="0" applyFont="1" applyFill="1" applyBorder="1" applyAlignment="1" applyProtection="1">
      <alignment horizontal="center" vertical="center"/>
      <protection locked="0"/>
    </xf>
    <xf numFmtId="0" fontId="15" fillId="0" borderId="35" xfId="0" applyFont="1" applyBorder="1" applyAlignment="1" applyProtection="1">
      <alignment horizontal="left" vertical="top" wrapText="1"/>
      <protection locked="0"/>
    </xf>
    <xf numFmtId="10" fontId="15" fillId="8" borderId="87" xfId="11" applyNumberFormat="1" applyFont="1" applyFill="1" applyBorder="1" applyAlignment="1" applyProtection="1">
      <alignment horizontal="center" vertical="center"/>
      <protection locked="0"/>
    </xf>
    <xf numFmtId="0" fontId="19" fillId="3" borderId="37" xfId="0" applyFont="1" applyFill="1" applyBorder="1" applyAlignment="1" applyProtection="1">
      <alignment horizontal="center" vertical="center"/>
    </xf>
    <xf numFmtId="0" fontId="15" fillId="10" borderId="86" xfId="0" applyFont="1" applyFill="1" applyBorder="1" applyAlignment="1" applyProtection="1">
      <alignment horizontal="center" vertical="center"/>
    </xf>
    <xf numFmtId="0" fontId="15" fillId="8" borderId="88" xfId="0" applyFont="1" applyFill="1" applyBorder="1" applyAlignment="1" applyProtection="1">
      <alignment horizontal="center" vertical="center"/>
      <protection locked="0"/>
    </xf>
    <xf numFmtId="10" fontId="15" fillId="8" borderId="19" xfId="11" applyNumberFormat="1" applyFont="1" applyFill="1" applyBorder="1" applyAlignment="1" applyProtection="1">
      <alignment horizontal="center" vertical="center"/>
      <protection locked="0"/>
    </xf>
    <xf numFmtId="0" fontId="15" fillId="8" borderId="89" xfId="0" applyFont="1" applyFill="1" applyBorder="1" applyAlignment="1" applyProtection="1">
      <alignment horizontal="center" vertical="center"/>
      <protection locked="0"/>
    </xf>
    <xf numFmtId="10" fontId="15" fillId="8" borderId="20" xfId="11" applyNumberFormat="1" applyFont="1" applyFill="1" applyBorder="1" applyAlignment="1" applyProtection="1">
      <alignment horizontal="center" vertical="center"/>
      <protection locked="0"/>
    </xf>
    <xf numFmtId="10" fontId="15" fillId="8" borderId="22" xfId="11" applyNumberFormat="1" applyFont="1" applyFill="1" applyBorder="1" applyAlignment="1" applyProtection="1">
      <alignment horizontal="center" vertical="center"/>
      <protection locked="0"/>
    </xf>
    <xf numFmtId="0" fontId="18" fillId="0" borderId="0" xfId="0" applyFont="1" applyAlignment="1" applyProtection="1">
      <alignment horizontal="center" vertical="center"/>
    </xf>
    <xf numFmtId="0" fontId="9" fillId="2" borderId="0" xfId="0" applyFont="1" applyFill="1" applyAlignment="1" applyProtection="1">
      <alignment vertical="top"/>
    </xf>
    <xf numFmtId="0" fontId="9" fillId="2" borderId="0" xfId="0" applyFont="1" applyFill="1" applyAlignment="1" applyProtection="1">
      <alignment vertical="top" wrapText="1"/>
    </xf>
    <xf numFmtId="0" fontId="9" fillId="6" borderId="31" xfId="0" applyFont="1" applyFill="1" applyBorder="1" applyAlignment="1" applyProtection="1">
      <alignment vertical="top"/>
    </xf>
    <xf numFmtId="0" fontId="3" fillId="7" borderId="0" xfId="0" applyFont="1" applyFill="1" applyAlignment="1" applyProtection="1"/>
    <xf numFmtId="0" fontId="3" fillId="6" borderId="0" xfId="0" applyFont="1" applyFill="1" applyAlignment="1" applyProtection="1">
      <alignment horizontal="center"/>
    </xf>
    <xf numFmtId="0" fontId="3" fillId="7" borderId="31" xfId="0" applyFont="1" applyFill="1" applyBorder="1" applyAlignment="1" applyProtection="1"/>
    <xf numFmtId="0" fontId="3" fillId="7" borderId="0" xfId="0" applyFont="1" applyFill="1" applyAlignment="1" applyProtection="1">
      <alignment vertical="top" wrapText="1"/>
    </xf>
    <xf numFmtId="0" fontId="3" fillId="6" borderId="0" xfId="0" applyFont="1" applyFill="1" applyProtection="1"/>
    <xf numFmtId="0" fontId="18" fillId="0" borderId="0" xfId="0" applyFont="1" applyAlignment="1" applyProtection="1">
      <alignment vertical="center"/>
    </xf>
    <xf numFmtId="179" fontId="15" fillId="8" borderId="84" xfId="8" applyNumberFormat="1" applyFont="1" applyFill="1" applyBorder="1" applyAlignment="1" applyProtection="1">
      <alignment horizontal="center" vertical="center"/>
      <protection locked="0"/>
    </xf>
    <xf numFmtId="10" fontId="15" fillId="10" borderId="89" xfId="11" applyNumberFormat="1" applyFont="1" applyFill="1" applyBorder="1" applyAlignment="1" applyProtection="1">
      <alignment horizontal="center" vertical="center"/>
    </xf>
    <xf numFmtId="0" fontId="24" fillId="2" borderId="31" xfId="0" applyFont="1" applyFill="1" applyBorder="1" applyAlignment="1" applyProtection="1">
      <alignment horizontal="left" vertical="top" wrapText="1"/>
    </xf>
    <xf numFmtId="0" fontId="24" fillId="2" borderId="0" xfId="0" applyFont="1" applyFill="1" applyBorder="1" applyAlignment="1" applyProtection="1">
      <alignment horizontal="left" vertical="top" wrapText="1"/>
    </xf>
    <xf numFmtId="179" fontId="15" fillId="10" borderId="84" xfId="8" applyNumberFormat="1" applyFont="1" applyFill="1" applyBorder="1" applyAlignment="1" applyProtection="1">
      <alignment horizontal="center"/>
    </xf>
    <xf numFmtId="179" fontId="15" fillId="10" borderId="89" xfId="8" applyNumberFormat="1" applyFont="1" applyFill="1" applyBorder="1" applyAlignment="1" applyProtection="1">
      <alignment horizontal="center"/>
    </xf>
    <xf numFmtId="0" fontId="24" fillId="2" borderId="0" xfId="0" applyFont="1" applyFill="1" applyAlignment="1" applyProtection="1">
      <alignment horizontal="left" vertical="top" wrapText="1"/>
    </xf>
    <xf numFmtId="0" fontId="3" fillId="2" borderId="0" xfId="0" applyFont="1" applyFill="1" applyAlignment="1" applyProtection="1">
      <alignment horizontal="left"/>
    </xf>
    <xf numFmtId="0" fontId="8" fillId="2" borderId="0" xfId="0" applyFont="1" applyFill="1" applyProtection="1"/>
    <xf numFmtId="0" fontId="3" fillId="2" borderId="0" xfId="0" applyFont="1" applyFill="1"/>
    <xf numFmtId="0" fontId="25" fillId="2" borderId="90" xfId="0" applyFont="1" applyFill="1" applyBorder="1" applyAlignment="1" applyProtection="1">
      <alignment horizontal="center" wrapText="1"/>
    </xf>
    <xf numFmtId="0" fontId="15" fillId="2" borderId="91" xfId="0" applyFont="1" applyFill="1" applyBorder="1" applyAlignment="1" applyProtection="1">
      <alignmen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FF0000"/>
      </font>
    </dxf>
  </dxfs>
  <tableStyles count="0" defaultTableStyle="TableStyleMedium9" defaultPivotStyle="PivotStyleLight16"/>
  <colors>
    <mruColors>
      <color rgb="0000B7EB"/>
      <color rgb="0033CCFF"/>
      <color rgb="00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xdr:cNvPicPr>
          <a:picLocks noChangeAspect="1"/>
        </xdr:cNvPicPr>
      </xdr:nvPicPr>
      <xdr:blipFill>
        <a:blip r:embed="rId1" cstate="print"/>
        <a:stretch>
          <a:fillRect/>
        </a:stretch>
      </xdr:blipFill>
      <xdr:spPr>
        <a:xfrm>
          <a:off x="243205" y="152400"/>
          <a:ext cx="904875" cy="92646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xdr:cNvPicPr>
          <a:picLocks noChangeAspect="1"/>
        </xdr:cNvPicPr>
      </xdr:nvPicPr>
      <xdr:blipFill>
        <a:blip r:embed="rId1" cstate="print"/>
        <a:stretch>
          <a:fillRect/>
        </a:stretch>
      </xdr:blipFill>
      <xdr:spPr>
        <a:xfrm>
          <a:off x="191135" y="155575"/>
          <a:ext cx="766445" cy="81470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xdr:cNvPicPr>
          <a:picLocks noChangeAspect="1"/>
        </xdr:cNvPicPr>
      </xdr:nvPicPr>
      <xdr:blipFill>
        <a:blip r:embed="rId1" cstate="print"/>
        <a:stretch>
          <a:fillRect/>
        </a:stretch>
      </xdr:blipFill>
      <xdr:spPr>
        <a:xfrm>
          <a:off x="288925" y="187325"/>
          <a:ext cx="653415" cy="66103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13"/>
  <sheetViews>
    <sheetView workbookViewId="0">
      <selection activeCell="G2" sqref="G2"/>
    </sheetView>
  </sheetViews>
  <sheetFormatPr defaultColWidth="9.10833333333333" defaultRowHeight="14.25" outlineLevelCol="6"/>
  <cols>
    <col min="1" max="1" width="2.44166666666667" style="297" customWidth="1"/>
    <col min="2" max="2" width="92.8833333333333" style="297" customWidth="1"/>
    <col min="3" max="16384" width="9.10833333333333" style="297"/>
  </cols>
  <sheetData>
    <row r="1" ht="9" customHeight="1" spans="1:7">
      <c r="A1" s="52"/>
      <c r="B1" s="52"/>
      <c r="C1" s="52"/>
      <c r="D1" s="52"/>
      <c r="E1" s="52"/>
      <c r="F1" s="52"/>
      <c r="G1" s="52"/>
    </row>
    <row r="2" ht="89.25" customHeight="1" spans="1:7">
      <c r="A2" s="52"/>
      <c r="B2" s="298" t="s">
        <v>0</v>
      </c>
      <c r="C2" s="52"/>
      <c r="D2" s="52"/>
      <c r="E2" s="52"/>
      <c r="F2" s="52"/>
      <c r="G2" s="52"/>
    </row>
    <row r="3" ht="243.75" customHeight="1" spans="1:7">
      <c r="A3" s="52"/>
      <c r="B3" s="299" t="s">
        <v>1</v>
      </c>
      <c r="C3" s="52"/>
      <c r="D3" s="52"/>
      <c r="E3" s="52"/>
      <c r="F3" s="52"/>
      <c r="G3" s="52"/>
    </row>
    <row r="4" ht="15" spans="1:7">
      <c r="A4" s="52"/>
      <c r="B4" s="96"/>
      <c r="C4" s="52"/>
      <c r="D4" s="52"/>
      <c r="E4" s="52"/>
      <c r="F4" s="52"/>
      <c r="G4" s="52"/>
    </row>
    <row r="5" spans="1:7">
      <c r="A5" s="52"/>
      <c r="B5" s="52"/>
      <c r="C5" s="52"/>
      <c r="D5" s="52"/>
      <c r="E5" s="52"/>
      <c r="F5" s="52"/>
      <c r="G5" s="52"/>
    </row>
    <row r="6" spans="1:7">
      <c r="A6" s="52"/>
      <c r="B6" s="52"/>
      <c r="C6" s="52"/>
      <c r="D6" s="52"/>
      <c r="E6" s="52"/>
      <c r="F6" s="52"/>
      <c r="G6" s="52"/>
    </row>
    <row r="7" spans="1:7">
      <c r="A7" s="52"/>
      <c r="B7" s="52"/>
      <c r="C7" s="52"/>
      <c r="D7" s="52"/>
      <c r="E7" s="52"/>
      <c r="F7" s="52"/>
      <c r="G7" s="52"/>
    </row>
    <row r="8" spans="1:7">
      <c r="A8" s="52"/>
      <c r="B8" s="52"/>
      <c r="C8" s="52"/>
      <c r="D8" s="52"/>
      <c r="E8" s="52"/>
      <c r="F8" s="52"/>
      <c r="G8" s="52"/>
    </row>
    <row r="9" spans="1:7">
      <c r="A9" s="52"/>
      <c r="B9" s="52"/>
      <c r="C9" s="52"/>
      <c r="D9" s="52"/>
      <c r="E9" s="52"/>
      <c r="F9" s="52"/>
      <c r="G9" s="52"/>
    </row>
    <row r="10" spans="1:7">
      <c r="A10" s="52"/>
      <c r="B10" s="52"/>
      <c r="C10" s="52"/>
      <c r="D10" s="52"/>
      <c r="E10" s="52"/>
      <c r="F10" s="52"/>
      <c r="G10" s="52"/>
    </row>
    <row r="11" spans="1:7">
      <c r="A11" s="52"/>
      <c r="B11" s="52"/>
      <c r="C11" s="52"/>
      <c r="D11" s="52"/>
      <c r="E11" s="52"/>
      <c r="F11" s="52"/>
      <c r="G11" s="52"/>
    </row>
    <row r="12" spans="1:7">
      <c r="A12" s="52"/>
      <c r="B12" s="52"/>
      <c r="C12" s="52"/>
      <c r="D12" s="52"/>
      <c r="E12" s="52"/>
      <c r="F12" s="52"/>
      <c r="G12" s="52"/>
    </row>
    <row r="13" spans="1:7">
      <c r="A13" s="52"/>
      <c r="B13" s="52"/>
      <c r="C13" s="52"/>
      <c r="D13" s="52"/>
      <c r="E13" s="52"/>
      <c r="F13" s="52"/>
      <c r="G13" s="52"/>
    </row>
  </sheetData>
  <sheetProtection password="C696" sheet="1" objects="1" scenarios="1"/>
  <pageMargins left="0.7" right="0.7" top="0.75" bottom="0.75" header="0.3" footer="0.3"/>
  <pageSetup paperSize="1"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AG46"/>
  <sheetViews>
    <sheetView tabSelected="1" view="pageBreakPreview" zoomScaleNormal="55" topLeftCell="A7" workbookViewId="0">
      <selection activeCell="V35" sqref="V35"/>
    </sheetView>
  </sheetViews>
  <sheetFormatPr defaultColWidth="9.10833333333333" defaultRowHeight="14.25"/>
  <cols>
    <col min="1" max="1" width="1.88333333333333" style="52" customWidth="1"/>
    <col min="2" max="2" width="1.44166666666667" style="52" customWidth="1"/>
    <col min="3" max="3" width="16.4416666666667" style="52" customWidth="1"/>
    <col min="4" max="4" width="28.1083333333333" style="52" customWidth="1"/>
    <col min="5" max="6" width="1.88333333333333" style="52" customWidth="1"/>
    <col min="7" max="7" width="2.44166666666667" style="52" customWidth="1"/>
    <col min="8" max="8" width="59.4416666666667" style="52" customWidth="1"/>
    <col min="9" max="9" width="19.1083333333333" style="52" customWidth="1"/>
    <col min="10" max="10" width="2.44166666666667" style="52" customWidth="1"/>
    <col min="11" max="11" width="13.4416666666667" style="209" customWidth="1"/>
    <col min="12" max="12" width="27.4416666666667" style="209" customWidth="1"/>
    <col min="13" max="13" width="1.44166666666667" style="209" customWidth="1"/>
    <col min="14" max="14" width="13.4416666666667" style="209" customWidth="1"/>
    <col min="15" max="15" width="26.1083333333333" style="209" customWidth="1"/>
    <col min="16" max="16" width="1.44166666666667" style="209" customWidth="1"/>
    <col min="17" max="17" width="13.4416666666667" style="209" customWidth="1"/>
    <col min="18" max="18" width="27.4416666666667" style="209" customWidth="1"/>
    <col min="19" max="19" width="2.10833333333333" style="52" customWidth="1"/>
    <col min="20" max="20" width="1.88333333333333" style="52" customWidth="1"/>
    <col min="21" max="16384" width="9.10833333333333" style="52"/>
  </cols>
  <sheetData>
    <row r="1" ht="9.75" customHeight="1" spans="1:20">
      <c r="A1" s="50"/>
      <c r="B1" s="50"/>
      <c r="C1" s="50"/>
      <c r="D1" s="50"/>
      <c r="E1" s="50"/>
      <c r="F1" s="50"/>
      <c r="G1" s="50"/>
      <c r="H1" s="50"/>
      <c r="I1" s="50"/>
      <c r="J1" s="50"/>
      <c r="K1" s="257"/>
      <c r="L1" s="257"/>
      <c r="M1" s="257"/>
      <c r="N1" s="257"/>
      <c r="O1" s="257"/>
      <c r="P1" s="257"/>
      <c r="Q1" s="257"/>
      <c r="R1" s="257"/>
      <c r="S1" s="50"/>
      <c r="T1" s="50"/>
    </row>
    <row r="2" customHeight="1" spans="1:20">
      <c r="A2" s="50"/>
      <c r="B2" s="210" t="s">
        <v>2</v>
      </c>
      <c r="C2" s="97"/>
      <c r="D2" s="97"/>
      <c r="E2" s="97"/>
      <c r="F2" s="97"/>
      <c r="G2" s="97"/>
      <c r="H2" s="97"/>
      <c r="I2" s="97"/>
      <c r="J2" s="97"/>
      <c r="K2" s="97"/>
      <c r="L2" s="97"/>
      <c r="M2" s="97"/>
      <c r="N2" s="97"/>
      <c r="O2" s="97"/>
      <c r="P2" s="97"/>
      <c r="Q2" s="97"/>
      <c r="R2" s="97"/>
      <c r="S2" s="97"/>
      <c r="T2" s="50"/>
    </row>
    <row r="3" customHeight="1" spans="1:20">
      <c r="A3" s="50"/>
      <c r="B3" s="97"/>
      <c r="C3" s="97"/>
      <c r="D3" s="97"/>
      <c r="E3" s="97"/>
      <c r="F3" s="97"/>
      <c r="G3" s="97"/>
      <c r="H3" s="97"/>
      <c r="I3" s="97"/>
      <c r="J3" s="97"/>
      <c r="K3" s="97"/>
      <c r="L3" s="97"/>
      <c r="M3" s="97"/>
      <c r="N3" s="97"/>
      <c r="O3" s="97"/>
      <c r="P3" s="97"/>
      <c r="Q3" s="97"/>
      <c r="R3" s="97"/>
      <c r="S3" s="97"/>
      <c r="T3" s="50"/>
    </row>
    <row r="4" customHeight="1" spans="1:20">
      <c r="A4" s="50"/>
      <c r="B4" s="97"/>
      <c r="C4" s="97"/>
      <c r="D4" s="97"/>
      <c r="E4" s="97"/>
      <c r="F4" s="97"/>
      <c r="G4" s="97"/>
      <c r="H4" s="97"/>
      <c r="I4" s="97"/>
      <c r="J4" s="97"/>
      <c r="K4" s="97"/>
      <c r="L4" s="97"/>
      <c r="M4" s="97"/>
      <c r="N4" s="97"/>
      <c r="O4" s="97"/>
      <c r="P4" s="97"/>
      <c r="Q4" s="97"/>
      <c r="R4" s="97"/>
      <c r="S4" s="97"/>
      <c r="T4" s="50"/>
    </row>
    <row r="5" ht="24.75" customHeight="1" spans="1:20">
      <c r="A5" s="50"/>
      <c r="B5" s="97"/>
      <c r="C5" s="97"/>
      <c r="D5" s="97"/>
      <c r="E5" s="97"/>
      <c r="F5" s="97"/>
      <c r="G5" s="97"/>
      <c r="H5" s="97"/>
      <c r="I5" s="97"/>
      <c r="J5" s="97"/>
      <c r="K5" s="97"/>
      <c r="L5" s="97"/>
      <c r="M5" s="97"/>
      <c r="N5" s="97"/>
      <c r="O5" s="97"/>
      <c r="P5" s="97"/>
      <c r="Q5" s="97"/>
      <c r="R5" s="97"/>
      <c r="S5" s="97"/>
      <c r="T5" s="50"/>
    </row>
    <row r="6" ht="9" customHeight="1" spans="1:20">
      <c r="A6" s="50"/>
      <c r="B6" s="211"/>
      <c r="C6" s="211"/>
      <c r="D6" s="211"/>
      <c r="E6" s="211"/>
      <c r="F6" s="211"/>
      <c r="G6" s="211"/>
      <c r="H6" s="211"/>
      <c r="I6" s="211"/>
      <c r="J6" s="211"/>
      <c r="K6" s="258"/>
      <c r="L6" s="258"/>
      <c r="M6" s="258"/>
      <c r="N6" s="259"/>
      <c r="O6" s="258"/>
      <c r="P6" s="258"/>
      <c r="Q6" s="258"/>
      <c r="R6" s="258"/>
      <c r="S6" s="50"/>
      <c r="T6" s="50"/>
    </row>
    <row r="7" ht="34.5" customHeight="1" spans="1:20">
      <c r="A7" s="50"/>
      <c r="B7" s="212"/>
      <c r="C7" s="213"/>
      <c r="D7" s="214"/>
      <c r="E7" s="214"/>
      <c r="F7" s="215"/>
      <c r="G7" s="216" t="s">
        <v>3</v>
      </c>
      <c r="H7" s="217"/>
      <c r="I7" s="217"/>
      <c r="J7" s="217"/>
      <c r="K7" s="217"/>
      <c r="L7" s="217"/>
      <c r="M7" s="217"/>
      <c r="N7" s="217"/>
      <c r="O7" s="217"/>
      <c r="P7" s="217"/>
      <c r="Q7" s="217"/>
      <c r="R7" s="217"/>
      <c r="S7" s="217"/>
      <c r="T7" s="50"/>
    </row>
    <row r="8" s="208" customFormat="1" ht="39" customHeight="1" spans="1:20">
      <c r="A8" s="218"/>
      <c r="B8" s="219"/>
      <c r="C8" s="220" t="s">
        <v>4</v>
      </c>
      <c r="D8" s="221"/>
      <c r="E8" s="222"/>
      <c r="F8" s="223"/>
      <c r="G8" s="219"/>
      <c r="H8" s="224" t="s">
        <v>5</v>
      </c>
      <c r="I8" s="260"/>
      <c r="J8" s="219"/>
      <c r="K8" s="224" t="str">
        <f>IF(I21="","Tested Case Temperature 1",CONCATENATE("Test Data for ",I21,"⁰C Case Temperature"))</f>
        <v>Test Data for 55⁰C Case Temperature</v>
      </c>
      <c r="L8" s="261"/>
      <c r="M8" s="219"/>
      <c r="N8" s="224" t="str">
        <f>IF(I22="","Tested Case Temperature 2",CONCATENATE("Test Data for ",I22,"⁰C Case Temperature"))</f>
        <v>Test Data for 85⁰C Case Temperature</v>
      </c>
      <c r="O8" s="261"/>
      <c r="P8" s="219"/>
      <c r="Q8" s="224" t="str">
        <f>IF(I23="","Tested Case Temperature 3",CONCATENATE("Test Data for ",I23,"⁰C Case Temperature"))</f>
        <v>Tested Case Temperature 3</v>
      </c>
      <c r="R8" s="261"/>
      <c r="T8" s="218"/>
    </row>
    <row r="9" ht="48" customHeight="1" spans="1:33">
      <c r="A9" s="50"/>
      <c r="B9" s="225"/>
      <c r="C9" s="226" t="s">
        <v>6</v>
      </c>
      <c r="D9" s="227"/>
      <c r="E9" s="228"/>
      <c r="F9" s="229"/>
      <c r="G9" s="225"/>
      <c r="H9" s="230"/>
      <c r="I9" s="262"/>
      <c r="J9" s="225"/>
      <c r="K9" s="263" t="s">
        <v>7</v>
      </c>
      <c r="L9" s="263" t="s">
        <v>8</v>
      </c>
      <c r="M9" s="264"/>
      <c r="N9" s="263" t="s">
        <v>7</v>
      </c>
      <c r="O9" s="263" t="s">
        <v>8</v>
      </c>
      <c r="P9" s="264"/>
      <c r="Q9" s="263" t="s">
        <v>7</v>
      </c>
      <c r="R9" s="263" t="s">
        <v>8</v>
      </c>
      <c r="T9" s="50"/>
      <c r="AG9" s="296"/>
    </row>
    <row r="10" ht="15" customHeight="1" spans="1:33">
      <c r="A10" s="50"/>
      <c r="B10" s="225"/>
      <c r="C10" s="231"/>
      <c r="D10" s="232"/>
      <c r="E10" s="228"/>
      <c r="F10" s="229"/>
      <c r="G10" s="225"/>
      <c r="H10" s="233"/>
      <c r="I10" s="265"/>
      <c r="J10" s="225"/>
      <c r="K10" s="266">
        <v>0</v>
      </c>
      <c r="L10" s="267">
        <v>1</v>
      </c>
      <c r="M10" s="219"/>
      <c r="N10" s="266">
        <v>0</v>
      </c>
      <c r="O10" s="267">
        <v>1</v>
      </c>
      <c r="P10" s="219"/>
      <c r="Q10" s="266"/>
      <c r="R10" s="267"/>
      <c r="T10" s="50"/>
      <c r="AG10" s="296"/>
    </row>
    <row r="11" ht="18" customHeight="1" spans="1:33">
      <c r="A11" s="50"/>
      <c r="B11" s="225"/>
      <c r="C11" s="231"/>
      <c r="D11" s="232"/>
      <c r="E11" s="228"/>
      <c r="F11" s="229"/>
      <c r="G11" s="225"/>
      <c r="H11" s="233"/>
      <c r="I11" s="265"/>
      <c r="J11" s="225"/>
      <c r="K11" s="268">
        <v>1000</v>
      </c>
      <c r="L11" s="267">
        <v>0.994</v>
      </c>
      <c r="M11" s="219"/>
      <c r="N11" s="268">
        <v>1000</v>
      </c>
      <c r="O11" s="267">
        <v>0.994</v>
      </c>
      <c r="P11" s="219"/>
      <c r="Q11" s="268"/>
      <c r="R11" s="270"/>
      <c r="T11" s="50"/>
      <c r="AG11" s="296"/>
    </row>
    <row r="12" ht="18.75" customHeight="1" spans="1:33">
      <c r="A12" s="50"/>
      <c r="B12" s="225"/>
      <c r="C12" s="231"/>
      <c r="D12" s="232"/>
      <c r="E12" s="228"/>
      <c r="F12" s="229"/>
      <c r="G12" s="225"/>
      <c r="H12" s="234"/>
      <c r="I12" s="269"/>
      <c r="J12" s="225"/>
      <c r="K12" s="268">
        <v>2000</v>
      </c>
      <c r="L12" s="270">
        <v>0.992</v>
      </c>
      <c r="M12" s="219"/>
      <c r="N12" s="268">
        <v>2000</v>
      </c>
      <c r="O12" s="270">
        <v>0.99</v>
      </c>
      <c r="P12" s="219"/>
      <c r="Q12" s="268"/>
      <c r="R12" s="270"/>
      <c r="T12" s="50"/>
      <c r="AG12" s="296"/>
    </row>
    <row r="13" ht="18" customHeight="1" spans="1:33">
      <c r="A13" s="50"/>
      <c r="B13" s="225"/>
      <c r="C13" s="231"/>
      <c r="D13" s="232"/>
      <c r="E13" s="228"/>
      <c r="F13" s="229"/>
      <c r="G13" s="225"/>
      <c r="H13" s="225"/>
      <c r="I13" s="225"/>
      <c r="J13" s="225"/>
      <c r="K13" s="268">
        <v>3000</v>
      </c>
      <c r="L13" s="270">
        <v>0.987</v>
      </c>
      <c r="M13" s="219"/>
      <c r="N13" s="268">
        <v>3000</v>
      </c>
      <c r="O13" s="270">
        <v>0.984</v>
      </c>
      <c r="P13" s="219"/>
      <c r="Q13" s="268"/>
      <c r="R13" s="270"/>
      <c r="T13" s="50"/>
      <c r="AG13" s="296"/>
    </row>
    <row r="14" ht="18.75" customHeight="1" spans="1:33">
      <c r="A14" s="50"/>
      <c r="B14" s="225"/>
      <c r="C14" s="231"/>
      <c r="D14" s="232"/>
      <c r="E14" s="228"/>
      <c r="F14" s="229"/>
      <c r="G14" s="225"/>
      <c r="H14" s="225"/>
      <c r="I14" s="225"/>
      <c r="J14" s="225"/>
      <c r="K14" s="268">
        <v>4000</v>
      </c>
      <c r="L14" s="270">
        <v>0.984</v>
      </c>
      <c r="M14" s="219"/>
      <c r="N14" s="268">
        <v>4000</v>
      </c>
      <c r="O14" s="270">
        <v>0.977</v>
      </c>
      <c r="P14" s="219"/>
      <c r="Q14" s="268"/>
      <c r="R14" s="270"/>
      <c r="T14" s="50"/>
      <c r="AG14" s="296"/>
    </row>
    <row r="15" ht="18.75" customHeight="1" spans="1:33">
      <c r="A15" s="50"/>
      <c r="B15" s="225"/>
      <c r="C15" s="231"/>
      <c r="D15" s="232"/>
      <c r="E15" s="228"/>
      <c r="F15" s="229"/>
      <c r="G15" s="225"/>
      <c r="H15" s="220" t="s">
        <v>9</v>
      </c>
      <c r="I15" s="271"/>
      <c r="J15" s="225"/>
      <c r="K15" s="268">
        <v>5000</v>
      </c>
      <c r="L15" s="270">
        <v>0.975</v>
      </c>
      <c r="M15" s="219"/>
      <c r="N15" s="268">
        <v>5000</v>
      </c>
      <c r="O15" s="270">
        <v>0.973</v>
      </c>
      <c r="P15" s="219"/>
      <c r="Q15" s="268"/>
      <c r="R15" s="270"/>
      <c r="T15" s="50"/>
      <c r="AG15" s="296"/>
    </row>
    <row r="16" ht="19.5" customHeight="1" spans="1:33">
      <c r="A16" s="50"/>
      <c r="B16" s="225"/>
      <c r="C16" s="231"/>
      <c r="D16" s="232"/>
      <c r="E16" s="228"/>
      <c r="F16" s="229"/>
      <c r="G16" s="225"/>
      <c r="H16" s="235" t="s">
        <v>10</v>
      </c>
      <c r="I16" s="266">
        <v>20</v>
      </c>
      <c r="J16" s="225"/>
      <c r="K16" s="268">
        <v>6000</v>
      </c>
      <c r="L16" s="270">
        <v>0.974</v>
      </c>
      <c r="M16" s="219"/>
      <c r="N16" s="268">
        <v>6000</v>
      </c>
      <c r="O16" s="270">
        <v>0.973</v>
      </c>
      <c r="P16" s="219"/>
      <c r="Q16" s="268"/>
      <c r="R16" s="270"/>
      <c r="T16" s="50"/>
      <c r="AG16" s="296"/>
    </row>
    <row r="17" ht="19.5" customHeight="1" spans="1:33">
      <c r="A17" s="50"/>
      <c r="B17" s="225"/>
      <c r="C17" s="231"/>
      <c r="D17" s="232"/>
      <c r="E17" s="228"/>
      <c r="F17" s="229"/>
      <c r="G17" s="225"/>
      <c r="H17" s="236" t="s">
        <v>11</v>
      </c>
      <c r="I17" s="268">
        <v>0</v>
      </c>
      <c r="J17" s="225"/>
      <c r="K17" s="268">
        <v>7000</v>
      </c>
      <c r="L17" s="270">
        <v>0.969</v>
      </c>
      <c r="M17" s="219"/>
      <c r="N17" s="268">
        <v>7000</v>
      </c>
      <c r="O17" s="270">
        <v>0.964</v>
      </c>
      <c r="P17" s="219"/>
      <c r="Q17" s="268"/>
      <c r="R17" s="270"/>
      <c r="T17" s="50"/>
      <c r="AG17" s="296"/>
    </row>
    <row r="18" ht="19.5" customHeight="1" spans="1:33">
      <c r="A18" s="50"/>
      <c r="B18" s="225"/>
      <c r="C18" s="231"/>
      <c r="D18" s="232"/>
      <c r="E18" s="228"/>
      <c r="F18" s="229"/>
      <c r="G18" s="225"/>
      <c r="H18" s="236" t="s">
        <v>12</v>
      </c>
      <c r="I18" s="272">
        <f>IF(I16="","",I16-I17)</f>
        <v>20</v>
      </c>
      <c r="J18" s="225"/>
      <c r="K18" s="268">
        <v>8000</v>
      </c>
      <c r="L18" s="270">
        <v>0.968</v>
      </c>
      <c r="M18" s="219"/>
      <c r="N18" s="268">
        <v>8000</v>
      </c>
      <c r="O18" s="270">
        <v>0.96</v>
      </c>
      <c r="P18" s="219"/>
      <c r="Q18" s="268"/>
      <c r="R18" s="270"/>
      <c r="T18" s="50"/>
      <c r="AG18" s="296"/>
    </row>
    <row r="19" ht="19.5" customHeight="1" spans="1:33">
      <c r="A19" s="50"/>
      <c r="B19" s="225"/>
      <c r="C19" s="231"/>
      <c r="D19" s="232"/>
      <c r="E19" s="228"/>
      <c r="F19" s="229"/>
      <c r="G19" s="225"/>
      <c r="H19" s="236" t="s">
        <v>13</v>
      </c>
      <c r="I19" s="268">
        <v>12000</v>
      </c>
      <c r="J19" s="225"/>
      <c r="K19" s="268">
        <v>9000</v>
      </c>
      <c r="L19" s="270">
        <v>0.966</v>
      </c>
      <c r="M19" s="219"/>
      <c r="N19" s="268">
        <v>9000</v>
      </c>
      <c r="O19" s="270">
        <v>0.961</v>
      </c>
      <c r="P19" s="219"/>
      <c r="Q19" s="268"/>
      <c r="R19" s="270"/>
      <c r="T19" s="50"/>
      <c r="AG19" s="296"/>
    </row>
    <row r="20" ht="19.5" customHeight="1" spans="1:33">
      <c r="A20" s="50"/>
      <c r="B20" s="225"/>
      <c r="C20" s="231"/>
      <c r="D20" s="232"/>
      <c r="E20" s="228"/>
      <c r="F20" s="229"/>
      <c r="G20" s="225"/>
      <c r="H20" s="236" t="s">
        <v>14</v>
      </c>
      <c r="I20" s="268">
        <v>150</v>
      </c>
      <c r="J20" s="225"/>
      <c r="K20" s="268">
        <v>10000</v>
      </c>
      <c r="L20" s="270">
        <v>0.965</v>
      </c>
      <c r="M20" s="219"/>
      <c r="N20" s="268">
        <v>10000</v>
      </c>
      <c r="O20" s="270">
        <v>0.956</v>
      </c>
      <c r="P20" s="219"/>
      <c r="Q20" s="268"/>
      <c r="R20" s="270"/>
      <c r="T20" s="50"/>
      <c r="AG20" s="296"/>
    </row>
    <row r="21" ht="19.5" customHeight="1" spans="1:33">
      <c r="A21" s="50"/>
      <c r="B21" s="225"/>
      <c r="C21" s="231"/>
      <c r="D21" s="232"/>
      <c r="E21" s="228"/>
      <c r="F21" s="229"/>
      <c r="G21" s="225"/>
      <c r="H21" s="236" t="s">
        <v>15</v>
      </c>
      <c r="I21" s="268">
        <v>55</v>
      </c>
      <c r="J21" s="225"/>
      <c r="K21" s="268">
        <v>11000</v>
      </c>
      <c r="L21" s="270">
        <v>0.965</v>
      </c>
      <c r="M21" s="219"/>
      <c r="N21" s="268">
        <v>11000</v>
      </c>
      <c r="O21" s="270">
        <v>0.953</v>
      </c>
      <c r="P21" s="219"/>
      <c r="Q21" s="268"/>
      <c r="R21" s="276"/>
      <c r="T21" s="50"/>
      <c r="AG21" s="296"/>
    </row>
    <row r="22" ht="19.5" customHeight="1" spans="1:33">
      <c r="A22" s="50"/>
      <c r="B22" s="225"/>
      <c r="C22" s="231"/>
      <c r="D22" s="232"/>
      <c r="E22" s="228"/>
      <c r="F22" s="229"/>
      <c r="G22" s="225"/>
      <c r="H22" s="236" t="s">
        <v>16</v>
      </c>
      <c r="I22" s="268">
        <v>85</v>
      </c>
      <c r="J22" s="225"/>
      <c r="K22" s="273">
        <v>12000</v>
      </c>
      <c r="L22" s="274">
        <v>0.964</v>
      </c>
      <c r="M22" s="219"/>
      <c r="N22" s="273">
        <v>12000</v>
      </c>
      <c r="O22" s="274">
        <v>0.95</v>
      </c>
      <c r="P22" s="219"/>
      <c r="Q22" s="268"/>
      <c r="R22" s="276"/>
      <c r="T22" s="50"/>
      <c r="AG22" s="296"/>
    </row>
    <row r="23" ht="21" customHeight="1" spans="1:20">
      <c r="A23" s="50"/>
      <c r="B23" s="225"/>
      <c r="C23" s="231"/>
      <c r="D23" s="232"/>
      <c r="E23" s="228"/>
      <c r="F23" s="229"/>
      <c r="G23" s="225"/>
      <c r="H23" s="237" t="s">
        <v>17</v>
      </c>
      <c r="I23" s="275"/>
      <c r="J23" s="225"/>
      <c r="K23" s="268"/>
      <c r="L23" s="276"/>
      <c r="M23" s="219"/>
      <c r="N23" s="268"/>
      <c r="O23" s="276"/>
      <c r="P23" s="219"/>
      <c r="Q23" s="268"/>
      <c r="R23" s="276"/>
      <c r="T23" s="50"/>
    </row>
    <row r="24" ht="20.25" customHeight="1" spans="1:20">
      <c r="A24" s="50"/>
      <c r="B24" s="225"/>
      <c r="C24" s="231"/>
      <c r="D24" s="232"/>
      <c r="E24" s="228"/>
      <c r="F24" s="229"/>
      <c r="G24" s="225"/>
      <c r="H24" s="238" t="str">
        <f>IF(AND(I22&lt;&gt;"",I21=""),"Please enter value for 'Tested Case Temperature 1'",IF(AND(OR(I21="",I22=""),I23&lt;&gt;""),"Please enter values for 'Tested Case Temperature 1' and Tested Case Temperature 2'",""))</f>
        <v/>
      </c>
      <c r="I24" s="238"/>
      <c r="J24" s="225"/>
      <c r="K24" s="268"/>
      <c r="L24" s="276"/>
      <c r="M24" s="219"/>
      <c r="N24" s="268"/>
      <c r="O24" s="276"/>
      <c r="P24" s="219"/>
      <c r="Q24" s="268"/>
      <c r="R24" s="276"/>
      <c r="T24" s="50"/>
    </row>
    <row r="25" ht="18" customHeight="1" spans="1:20">
      <c r="A25" s="50"/>
      <c r="B25" s="225"/>
      <c r="C25" s="231"/>
      <c r="D25" s="232"/>
      <c r="E25" s="228"/>
      <c r="F25" s="229"/>
      <c r="G25" s="225"/>
      <c r="H25" s="239"/>
      <c r="I25" s="239"/>
      <c r="J25" s="225"/>
      <c r="K25" s="268"/>
      <c r="L25" s="276"/>
      <c r="M25" s="219"/>
      <c r="N25" s="268"/>
      <c r="O25" s="276"/>
      <c r="P25" s="219"/>
      <c r="Q25" s="268"/>
      <c r="R25" s="276"/>
      <c r="T25" s="50"/>
    </row>
    <row r="26" ht="18.75" customHeight="1" spans="1:20">
      <c r="A26" s="50"/>
      <c r="B26" s="225"/>
      <c r="C26" s="231"/>
      <c r="D26" s="232"/>
      <c r="E26" s="228"/>
      <c r="F26" s="229"/>
      <c r="G26" s="225"/>
      <c r="H26" s="239"/>
      <c r="I26" s="239"/>
      <c r="J26" s="225"/>
      <c r="K26" s="268"/>
      <c r="L26" s="276"/>
      <c r="M26" s="219"/>
      <c r="N26" s="268"/>
      <c r="O26" s="276"/>
      <c r="P26" s="219"/>
      <c r="Q26" s="268"/>
      <c r="R26" s="276"/>
      <c r="T26" s="50"/>
    </row>
    <row r="27" ht="21" customHeight="1" spans="1:20">
      <c r="A27" s="50"/>
      <c r="B27" s="225"/>
      <c r="C27" s="231"/>
      <c r="D27" s="232"/>
      <c r="E27" s="228"/>
      <c r="F27" s="229"/>
      <c r="G27" s="225"/>
      <c r="J27" s="225"/>
      <c r="K27" s="268"/>
      <c r="L27" s="276"/>
      <c r="M27" s="219"/>
      <c r="N27" s="268"/>
      <c r="O27" s="276"/>
      <c r="P27" s="219"/>
      <c r="Q27" s="268"/>
      <c r="R27" s="276"/>
      <c r="T27" s="50"/>
    </row>
    <row r="28" ht="18.75" customHeight="1" spans="1:20">
      <c r="A28" s="50"/>
      <c r="B28" s="225"/>
      <c r="C28" s="231"/>
      <c r="D28" s="232"/>
      <c r="E28" s="228"/>
      <c r="F28" s="229"/>
      <c r="G28" s="225"/>
      <c r="J28" s="240"/>
      <c r="K28" s="268"/>
      <c r="L28" s="276"/>
      <c r="M28" s="219"/>
      <c r="N28" s="268"/>
      <c r="O28" s="276"/>
      <c r="P28" s="219"/>
      <c r="Q28" s="268"/>
      <c r="R28" s="276"/>
      <c r="T28" s="50"/>
    </row>
    <row r="29" ht="19.5" customHeight="1" spans="1:20">
      <c r="A29" s="50"/>
      <c r="B29" s="240"/>
      <c r="C29" s="231"/>
      <c r="D29" s="232"/>
      <c r="E29" s="241"/>
      <c r="F29" s="242"/>
      <c r="G29" s="240"/>
      <c r="J29" s="240"/>
      <c r="K29" s="275"/>
      <c r="L29" s="277"/>
      <c r="M29" s="219"/>
      <c r="N29" s="275"/>
      <c r="O29" s="277"/>
      <c r="P29" s="219"/>
      <c r="Q29" s="275"/>
      <c r="R29" s="277"/>
      <c r="T29" s="50"/>
    </row>
    <row r="30" ht="12" customHeight="1" spans="1:20">
      <c r="A30" s="50"/>
      <c r="B30" s="240"/>
      <c r="C30" s="231"/>
      <c r="D30" s="232"/>
      <c r="E30" s="240"/>
      <c r="F30" s="242"/>
      <c r="G30" s="240"/>
      <c r="J30" s="240"/>
      <c r="K30" s="264"/>
      <c r="L30" s="264"/>
      <c r="M30" s="264"/>
      <c r="N30" s="264"/>
      <c r="O30" s="264"/>
      <c r="P30" s="264"/>
      <c r="Q30" s="264"/>
      <c r="R30" s="264"/>
      <c r="T30" s="50"/>
    </row>
    <row r="31" ht="10.5" customHeight="1" spans="1:20">
      <c r="A31" s="50"/>
      <c r="B31" s="241"/>
      <c r="C31" s="231"/>
      <c r="D31" s="232"/>
      <c r="E31" s="241"/>
      <c r="F31" s="242"/>
      <c r="G31" s="242"/>
      <c r="H31" s="50"/>
      <c r="I31" s="50"/>
      <c r="J31" s="242"/>
      <c r="K31" s="258"/>
      <c r="L31" s="258"/>
      <c r="M31" s="258"/>
      <c r="N31" s="258"/>
      <c r="O31" s="258"/>
      <c r="P31" s="258"/>
      <c r="Q31" s="258"/>
      <c r="R31" s="258"/>
      <c r="S31" s="50"/>
      <c r="T31" s="50"/>
    </row>
    <row r="32" ht="27" customHeight="1" spans="1:18">
      <c r="A32" s="50"/>
      <c r="B32" s="241"/>
      <c r="C32" s="231"/>
      <c r="D32" s="232"/>
      <c r="E32" s="241"/>
      <c r="F32" s="242"/>
      <c r="G32" s="240"/>
      <c r="H32" s="243" t="s">
        <v>18</v>
      </c>
      <c r="I32" s="278"/>
      <c r="K32" s="264"/>
      <c r="N32" s="264"/>
      <c r="O32" s="264"/>
      <c r="P32" s="258"/>
      <c r="Q32" s="264"/>
      <c r="R32" s="264"/>
    </row>
    <row r="33" ht="37.5" customHeight="1" spans="1:18">
      <c r="A33" s="50"/>
      <c r="B33" s="241"/>
      <c r="C33" s="231"/>
      <c r="D33" s="232"/>
      <c r="E33" s="241"/>
      <c r="F33" s="242"/>
      <c r="H33" s="244" t="s">
        <v>19</v>
      </c>
      <c r="I33" s="266">
        <v>150</v>
      </c>
      <c r="J33" s="279" t="str">
        <f>IF(I33&gt;I20,"The drive current of the chip in the luminaire must be less than or equal to the chip as tested under LM-80.","")</f>
        <v/>
      </c>
      <c r="K33" s="280"/>
      <c r="L33" s="280"/>
      <c r="N33" s="264"/>
      <c r="O33" s="264"/>
      <c r="P33" s="50"/>
      <c r="Q33" s="264"/>
      <c r="R33" s="264"/>
    </row>
    <row r="34" ht="23.25" customHeight="1" spans="1:18">
      <c r="A34" s="50"/>
      <c r="B34" s="241"/>
      <c r="C34" s="231"/>
      <c r="D34" s="232"/>
      <c r="E34" s="241"/>
      <c r="F34" s="242"/>
      <c r="H34" s="245" t="s">
        <v>20</v>
      </c>
      <c r="I34" s="268">
        <v>55</v>
      </c>
      <c r="J34" s="281" t="str">
        <f>IF('TM-21 Inputs'!I34&gt;MAX('TM-21 Inputs'!I21:I23),"In situ case temperature must be less than or equal to the maximum LM-80 test temperature.","")</f>
        <v/>
      </c>
      <c r="K34" s="282"/>
      <c r="L34" s="282"/>
      <c r="M34" s="283"/>
      <c r="N34" s="264"/>
      <c r="O34" s="264"/>
      <c r="P34" s="50"/>
      <c r="Q34" s="264"/>
      <c r="R34" s="264"/>
    </row>
    <row r="35" ht="40.5" customHeight="1" spans="1:18">
      <c r="A35" s="50"/>
      <c r="B35" s="241"/>
      <c r="C35" s="231"/>
      <c r="D35" s="232"/>
      <c r="E35" s="241"/>
      <c r="F35" s="242"/>
      <c r="H35" s="246" t="s">
        <v>21</v>
      </c>
      <c r="I35" s="275">
        <v>90</v>
      </c>
      <c r="J35" s="284"/>
      <c r="K35" s="282"/>
      <c r="L35" s="282"/>
      <c r="M35" s="283"/>
      <c r="N35" s="264"/>
      <c r="O35" s="264"/>
      <c r="P35" s="50"/>
      <c r="Q35" s="264"/>
      <c r="R35" s="264"/>
    </row>
    <row r="36" ht="11.25" customHeight="1" spans="1:18">
      <c r="A36" s="50"/>
      <c r="B36" s="241"/>
      <c r="C36" s="231"/>
      <c r="D36" s="232"/>
      <c r="E36" s="241"/>
      <c r="F36" s="242"/>
      <c r="H36" s="73"/>
      <c r="J36" s="285"/>
      <c r="K36" s="285"/>
      <c r="L36" s="286"/>
      <c r="M36" s="283"/>
      <c r="N36" s="264"/>
      <c r="O36" s="264"/>
      <c r="P36" s="50"/>
      <c r="Q36" s="264"/>
      <c r="R36" s="264"/>
    </row>
    <row r="37" ht="11.25" customHeight="1" spans="1:18">
      <c r="A37" s="50"/>
      <c r="B37" s="247"/>
      <c r="C37" s="231"/>
      <c r="D37" s="232"/>
      <c r="E37" s="247"/>
      <c r="F37" s="242"/>
      <c r="G37" s="211"/>
      <c r="H37" s="248"/>
      <c r="I37" s="50"/>
      <c r="J37" s="211"/>
      <c r="K37" s="258"/>
      <c r="L37" s="258"/>
      <c r="M37" s="258"/>
      <c r="N37" s="258"/>
      <c r="O37" s="258"/>
      <c r="P37" s="258"/>
      <c r="Q37" s="264"/>
      <c r="R37" s="264"/>
    </row>
    <row r="38" ht="23.25" customHeight="1" spans="1:18">
      <c r="A38" s="50"/>
      <c r="B38" s="247"/>
      <c r="C38" s="231"/>
      <c r="D38" s="232"/>
      <c r="E38" s="247"/>
      <c r="F38" s="242"/>
      <c r="H38" s="249" t="s">
        <v>22</v>
      </c>
      <c r="I38" s="287"/>
      <c r="K38" s="264"/>
      <c r="L38" s="264"/>
      <c r="N38" s="264"/>
      <c r="O38" s="264"/>
      <c r="P38" s="258"/>
      <c r="Q38" s="264"/>
      <c r="R38" s="264"/>
    </row>
    <row r="39" ht="4.5" customHeight="1" spans="1:16">
      <c r="A39" s="50"/>
      <c r="C39" s="231"/>
      <c r="D39" s="232"/>
      <c r="F39" s="242"/>
      <c r="H39" s="73"/>
      <c r="P39" s="257"/>
    </row>
    <row r="40" ht="33.75" customHeight="1" spans="1:16">
      <c r="A40" s="50"/>
      <c r="C40" s="231"/>
      <c r="D40" s="232"/>
      <c r="F40" s="242"/>
      <c r="H40" s="244" t="s">
        <v>23</v>
      </c>
      <c r="I40" s="288">
        <v>50000</v>
      </c>
      <c r="J40" s="256"/>
      <c r="P40" s="257"/>
    </row>
    <row r="41" ht="18.75" spans="1:16">
      <c r="A41" s="50"/>
      <c r="C41" s="231"/>
      <c r="D41" s="232"/>
      <c r="F41" s="242"/>
      <c r="H41" s="246" t="s">
        <v>24</v>
      </c>
      <c r="I41" s="289">
        <f>IFERROR(IF(I40="","",IF('TM-21 Inputs'!I34="","",'Product Inputs'!C13*EXP(-I40*'Product Inputs'!C15))),"")</f>
        <v>0.909136240112073</v>
      </c>
      <c r="J41" s="290" t="str">
        <f>IFERROR(IF(OR('TM-21 Report'!M13&lt;0,'TM-21 Report'!M17&lt;0),"One or more of the tests resulted in negative L70 values. Please refer to sections 5.2.5 and 6.4 of IES TM-21-11 for instructions on how to estimate the reported lumen maintenance life (L70).",IF(I18="","",IF('Product Inputs'!C17="error","Number of samples measured must be ≥10. Please enter the correct number of samples in above",""))),"")</f>
        <v/>
      </c>
      <c r="K41" s="291"/>
      <c r="L41" s="291"/>
      <c r="M41" s="291"/>
      <c r="N41" s="291"/>
      <c r="O41" s="291"/>
      <c r="P41" s="257"/>
    </row>
    <row r="42" ht="18.75" customHeight="1" spans="1:16">
      <c r="A42" s="50"/>
      <c r="C42" s="250"/>
      <c r="D42" s="251"/>
      <c r="F42" s="242"/>
      <c r="H42" s="252" t="str">
        <f>IF(I35="","Calculated LM (hours):",CONCATENATE("Calculated L",'TM-21 Inputs'!I35," (hours):"))</f>
        <v>Calculated L90 (hours):</v>
      </c>
      <c r="I42" s="292">
        <f>IFERROR(ROUND('Product Inputs'!C16,-3),"")</f>
        <v>57000</v>
      </c>
      <c r="J42" s="290"/>
      <c r="K42" s="291"/>
      <c r="L42" s="291"/>
      <c r="M42" s="291"/>
      <c r="N42" s="291"/>
      <c r="O42" s="291"/>
      <c r="P42" s="257"/>
    </row>
    <row r="43" ht="18.75" spans="1:16">
      <c r="A43" s="50"/>
      <c r="C43" s="253"/>
      <c r="D43" s="254"/>
      <c r="F43" s="242"/>
      <c r="H43" s="255" t="str">
        <f>IF(I35="","Reported LM (hours):",CONCATENATE("Reported L",'TM-21 Inputs'!I35," (hours):"))</f>
        <v>Reported L90 (hours):</v>
      </c>
      <c r="I43" s="293">
        <f>IFERROR(IF('Product Inputs'!C17="error","",'Product Inputs'!C17),"")</f>
        <v>57000</v>
      </c>
      <c r="J43" s="290"/>
      <c r="K43" s="291"/>
      <c r="L43" s="291"/>
      <c r="M43" s="291"/>
      <c r="N43" s="291"/>
      <c r="O43" s="291"/>
      <c r="P43" s="257"/>
    </row>
    <row r="44" ht="11.25" customHeight="1" spans="1:16">
      <c r="A44" s="50"/>
      <c r="F44" s="242"/>
      <c r="J44" s="294"/>
      <c r="K44" s="294"/>
      <c r="L44" s="295"/>
      <c r="M44" s="295"/>
      <c r="N44" s="295"/>
      <c r="O44" s="295"/>
      <c r="P44" s="257"/>
    </row>
    <row r="45" ht="11.25" customHeight="1" spans="1:16">
      <c r="A45" s="50"/>
      <c r="B45" s="50"/>
      <c r="C45" s="50"/>
      <c r="D45" s="50"/>
      <c r="E45" s="50"/>
      <c r="F45" s="50"/>
      <c r="G45" s="50"/>
      <c r="H45" s="50"/>
      <c r="I45" s="50"/>
      <c r="J45" s="50"/>
      <c r="K45" s="257"/>
      <c r="L45" s="257"/>
      <c r="M45" s="258"/>
      <c r="N45" s="258"/>
      <c r="O45" s="258"/>
      <c r="P45" s="257"/>
    </row>
    <row r="46" ht="15" spans="3:3">
      <c r="C46" s="256"/>
    </row>
  </sheetData>
  <sheetProtection password="C696" sheet="1" objects="1" scenarios="1"/>
  <mergeCells count="14">
    <mergeCell ref="G7:S7"/>
    <mergeCell ref="C8:D8"/>
    <mergeCell ref="H8:I8"/>
    <mergeCell ref="K8:L8"/>
    <mergeCell ref="N8:O8"/>
    <mergeCell ref="Q8:R8"/>
    <mergeCell ref="H15:I15"/>
    <mergeCell ref="H32:I32"/>
    <mergeCell ref="H38:I38"/>
    <mergeCell ref="B2:S5"/>
    <mergeCell ref="H9:I12"/>
    <mergeCell ref="C9:D43"/>
    <mergeCell ref="J41:O43"/>
    <mergeCell ref="H24:I26"/>
  </mergeCells>
  <conditionalFormatting sqref="I18">
    <cfRule type="cellIs" dxfId="0" priority="1" operator="lessThan">
      <formula>10</formula>
    </cfRule>
  </conditionalFormatting>
  <pageMargins left="0.7" right="0.7" top="0.75" bottom="0.75" header="0.3" footer="0.3"/>
  <pageSetup paperSize="1" scale="43" orientation="landscape" horizontalDpi="300" verticalDpi="300"/>
  <headerFooter/>
  <colBreaks count="1" manualBreakCount="1">
    <brk id="20" max="1048575" man="1"/>
  </colBreaks>
  <ignoredErrors>
    <ignoredError sqref="J34" formulaRange="1"/>
    <ignoredError sqref="I18" unlockedFormula="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B2:M17"/>
  <sheetViews>
    <sheetView zoomScale="70" zoomScaleNormal="70" workbookViewId="0">
      <selection activeCell="C7" sqref="C7"/>
    </sheetView>
  </sheetViews>
  <sheetFormatPr defaultColWidth="9.10833333333333" defaultRowHeight="13.5"/>
  <cols>
    <col min="1" max="1" width="9.10833333333333" style="162"/>
    <col min="2" max="2" width="44.8833333333333" style="162" customWidth="1"/>
    <col min="3" max="3" width="15.4416666666667" style="162" customWidth="1"/>
    <col min="4" max="4" width="12.4416666666667" style="1" customWidth="1"/>
    <col min="5" max="5" width="9.10833333333333" style="1"/>
    <col min="6" max="6" width="19.8833333333333" style="1" customWidth="1"/>
    <col min="7" max="7" width="13" style="1" customWidth="1"/>
    <col min="8" max="8" width="2.88333333333333" style="1" customWidth="1"/>
    <col min="9" max="9" width="19.8833333333333" style="1" customWidth="1"/>
    <col min="10" max="10" width="13" style="1" customWidth="1"/>
    <col min="11" max="11" width="2.55833333333333" style="1" customWidth="1"/>
    <col min="12" max="12" width="19.8833333333333" style="1" customWidth="1"/>
    <col min="13" max="13" width="13" style="1" customWidth="1"/>
    <col min="14" max="16384" width="9.10833333333333" style="1"/>
  </cols>
  <sheetData>
    <row r="2" ht="14.25" spans="2:3">
      <c r="B2" s="163" t="s">
        <v>25</v>
      </c>
      <c r="C2" s="164">
        <f>COUNTIF('TM-21 Inputs'!I21:I23,"&gt;="&amp;0)</f>
        <v>2</v>
      </c>
    </row>
    <row r="3" ht="30" spans="2:3">
      <c r="B3" s="165" t="s">
        <v>26</v>
      </c>
      <c r="C3" s="166">
        <f>IF(OR(C14='Product Inputs'!G7,C14='Product Inputs'!J7,C14='Product Inputs'!M7),C14,IF(C14&gt;MAX('Product Inputs'!G7,'Product Inputs'!J7,'Product Inputs'!M7),"In situ case temp too high",IF(C2=1,'Product Inputs'!G7,IF(AND(C2=2,C14&lt;MIN('Product Inputs'!G7,'Product Inputs'!J7)),'Product Inputs'!G7,IF(AND(C2=2,C14&gt;MIN('Product Inputs'!G7,'Product Inputs'!J7),C14&lt;MAX('Product Inputs'!G7,'Product Inputs'!J7)),MIN('Product Inputs'!G7,'Product Inputs'!J7),IF(AND(C2=3,C14&lt;MIN('Product Inputs'!G7,'Product Inputs'!J7,'Product Inputs'!M7)),'Product Inputs'!G7,IF(AND(C2=3,C14&gt;MIN('Product Inputs'!G7,'Product Inputs'!J7,'Product Inputs'!M7),C14&lt;MEDIAN('Product Inputs'!G7,'Product Inputs'!J7,'Product Inputs'!M7)),MIN('Product Inputs'!G7,'Product Inputs'!J7,'Product Inputs'!M7),IF(AND(C2=3,C14&gt;MEDIAN('Product Inputs'!G7,'Product Inputs'!J7,'Product Inputs'!M7),C14&lt;MAX('Product Inputs'!G7,'Product Inputs'!J7,'Product Inputs'!M7)),MEDIAN('Product Inputs'!G7,'Product Inputs'!J7,'Product Inputs'!M7),"error"))))))))</f>
        <v>328.15</v>
      </c>
    </row>
    <row r="4" ht="18.75" spans="2:13">
      <c r="B4" s="167" t="s">
        <v>27</v>
      </c>
      <c r="C4" s="168">
        <f>IF(C3='Product Inputs'!G7,'Product Inputs'!G8,IF(C3='Product Inputs'!J7,'Product Inputs'!J8,IF(C3='Product Inputs'!M7,'Product Inputs'!M8)))</f>
        <v>1.51203693346858e-6</v>
      </c>
      <c r="F4" s="169" t="s">
        <v>28</v>
      </c>
      <c r="G4" s="170"/>
      <c r="H4" s="170"/>
      <c r="I4" s="170"/>
      <c r="J4" s="170"/>
      <c r="K4" s="170"/>
      <c r="L4" s="170"/>
      <c r="M4" s="196"/>
    </row>
    <row r="5" ht="16.5" spans="2:13">
      <c r="B5" s="171" t="s">
        <v>29</v>
      </c>
      <c r="C5" s="172">
        <f>IF(C3='Product Inputs'!G7,'Product Inputs'!G9,IF(C3='Product Inputs'!J7,'Product Inputs'!J9,IF(C3='Product Inputs'!M7,'Product Inputs'!M9)))</f>
        <v>0.980533497486781</v>
      </c>
      <c r="F5" s="173" t="s">
        <v>30</v>
      </c>
      <c r="G5" s="174"/>
      <c r="H5" s="175"/>
      <c r="I5" s="197" t="s">
        <v>31</v>
      </c>
      <c r="J5" s="174"/>
      <c r="K5" s="175"/>
      <c r="L5" s="197" t="s">
        <v>32</v>
      </c>
      <c r="M5" s="198"/>
    </row>
    <row r="6" ht="29.25" spans="2:13">
      <c r="B6" s="165" t="s">
        <v>33</v>
      </c>
      <c r="C6" s="176" t="str">
        <f>IF(OR(C14='Product Inputs'!G7,C14='Product Inputs'!J7,C14='Product Inputs'!M7,C2=1),"N/A",IF(C14&gt;MAX('Product Inputs'!G7,'Product Inputs'!J7,'Product Inputs'!M7),"N/A",IF(OR(AND(C2=3,C14&lt;=MIN('Product Inputs'!G7,'Product Inputs'!J7,'Product Inputs'!M7)),AND(C14&lt;=MIN('Product Inputs'!G7,'Product Inputs'!J7),C2=2)),"N/A",IF(AND(C2=2,C14&gt;MIN('Product Inputs'!G7,'Product Inputs'!J7),C14&lt;MAX('Product Inputs'!G7,'Product Inputs'!J7)),MAX('Product Inputs'!G7,'Product Inputs'!J7),IF(AND(C2=3,C14&gt;MIN('Product Inputs'!G7,'Product Inputs'!J7,'Product Inputs'!M7),C14&lt;MEDIAN('Product Inputs'!G7,'Product Inputs'!J7,'Product Inputs'!M7)),MEDIAN('Product Inputs'!G7,'Product Inputs'!J7,'Product Inputs'!M7),IF(AND(C2=3,C14&gt;MEDIAN('Product Inputs'!G7,'Product Inputs'!J7,'Product Inputs'!M7),C14&lt;MAX('Product Inputs'!G7,'Product Inputs'!J7,'Product Inputs'!M7)),MAX('Product Inputs'!G7,'Product Inputs'!J7,'Product Inputs'!M7),"error"))))))</f>
        <v>N/A</v>
      </c>
      <c r="F6" s="177" t="s">
        <v>34</v>
      </c>
      <c r="G6" s="178">
        <f>IF('TM-21 Inputs'!I21="","",'TM-21 Inputs'!I21)</f>
        <v>55</v>
      </c>
      <c r="H6" s="179"/>
      <c r="I6" s="199" t="s">
        <v>34</v>
      </c>
      <c r="J6" s="178">
        <f>IF('TM-21 Inputs'!I22="","",'TM-21 Inputs'!I22)</f>
        <v>85</v>
      </c>
      <c r="K6" s="179"/>
      <c r="L6" s="199" t="s">
        <v>34</v>
      </c>
      <c r="M6" s="200" t="str">
        <f>IF('TM-21 Inputs'!I23="","",'TM-21 Inputs'!I23)</f>
        <v/>
      </c>
    </row>
    <row r="7" ht="15" spans="2:13">
      <c r="B7" s="167" t="s">
        <v>35</v>
      </c>
      <c r="C7" s="168" t="str">
        <f>IF(C6="N/A","N/A",IF(C6='Product Inputs'!G7,'Product Inputs'!G8,IF(C6='Product Inputs'!J7,'Product Inputs'!J8,IF(C6='Product Inputs'!M7,'Product Inputs'!M8))))</f>
        <v>N/A</v>
      </c>
      <c r="F7" s="180" t="s">
        <v>36</v>
      </c>
      <c r="G7" s="181">
        <f>IF(G6="","",G6+273.15)</f>
        <v>328.15</v>
      </c>
      <c r="H7" s="179"/>
      <c r="I7" s="201" t="s">
        <v>36</v>
      </c>
      <c r="J7" s="181">
        <f>IF(J6="","",J6+273.15)</f>
        <v>358.15</v>
      </c>
      <c r="K7" s="183"/>
      <c r="L7" s="201" t="s">
        <v>36</v>
      </c>
      <c r="M7" s="202" t="str">
        <f>IF(M6="","",M6+273.15)</f>
        <v/>
      </c>
    </row>
    <row r="8" ht="16.5" spans="2:13">
      <c r="B8" s="171" t="s">
        <v>37</v>
      </c>
      <c r="C8" s="172" t="str">
        <f>IF(C6="N/A","N/A",IF(C6='Product Inputs'!G7,'Product Inputs'!G9,IF(C6='Product Inputs'!J7,'Product Inputs'!J9,IF(C6='Product Inputs'!M7,'Product Inputs'!M9))))</f>
        <v>N/A</v>
      </c>
      <c r="F8" s="180" t="str">
        <f>'Calculations - Case Temp 1'!E31</f>
        <v>α:</v>
      </c>
      <c r="G8" s="182">
        <f>IF(G6="","",'Calculations - Case Temp 1'!F31)</f>
        <v>1.51203693346858e-6</v>
      </c>
      <c r="H8" s="183"/>
      <c r="I8" s="201" t="str">
        <f>'Calculations - Case Temp 2'!E31</f>
        <v>α:</v>
      </c>
      <c r="J8" s="182">
        <f>IF(J6="","",'Calculations - Case Temp 2'!F31)</f>
        <v>3.53194450347943e-6</v>
      </c>
      <c r="K8" s="183"/>
      <c r="L8" s="201" t="str">
        <f>'Calculations - Case Temp 3'!E31</f>
        <v>α:</v>
      </c>
      <c r="M8" s="203" t="str">
        <f>IF(M6="","",'Calculations - Case Temp 3'!F31)</f>
        <v/>
      </c>
    </row>
    <row r="9" ht="15.75" spans="2:13">
      <c r="B9" s="184" t="s">
        <v>38</v>
      </c>
      <c r="C9" s="176" t="str">
        <f>IF(OR(C6="N/A",'TM-21 Inputs'!I34=""),"",IF(AND(C3&gt;0,C6&gt;0),(LN(C4)-LN(C7))/((1/C6)-(1/C3)),"error"))</f>
        <v/>
      </c>
      <c r="F9" s="180" t="str">
        <f>'Calculations - Case Temp 1'!E32</f>
        <v>B:</v>
      </c>
      <c r="G9" s="185">
        <f>IF(G6="","",'Calculations - Case Temp 1'!F32)</f>
        <v>0.980533497486781</v>
      </c>
      <c r="H9" s="183"/>
      <c r="I9" s="201" t="str">
        <f>'Calculations - Case Temp 2'!E32</f>
        <v>B:</v>
      </c>
      <c r="J9" s="185">
        <f>IF(J6="","",'Calculations - Case Temp 2'!F32)</f>
        <v>0.990536976377486</v>
      </c>
      <c r="K9" s="183"/>
      <c r="L9" s="201" t="str">
        <f>'Calculations - Case Temp 3'!E32</f>
        <v>B:</v>
      </c>
      <c r="M9" s="204" t="str">
        <f>IF(M6="","",'Calculations - Case Temp 3'!F32)</f>
        <v/>
      </c>
    </row>
    <row r="10" ht="15.75" spans="2:13">
      <c r="B10" s="186" t="s">
        <v>39</v>
      </c>
      <c r="C10" s="187">
        <f>8.6173*(10^-5)</f>
        <v>8.6173e-5</v>
      </c>
      <c r="F10" s="180" t="str">
        <f>'Calculations - Case Temp 1'!E33</f>
        <v>Calculated L90 (hrs):</v>
      </c>
      <c r="G10" s="188">
        <f>IF(G6="","",'Calculations - Case Temp 1'!F33)</f>
        <v>57000</v>
      </c>
      <c r="H10" s="183"/>
      <c r="I10" s="201" t="str">
        <f>'Calculations - Case Temp 2'!E33</f>
        <v>Calculated L90 (hrs):</v>
      </c>
      <c r="J10" s="188">
        <f>IF(J6="","",'Calculations - Case Temp 2'!F33)</f>
        <v>27000</v>
      </c>
      <c r="K10" s="183"/>
      <c r="L10" s="201" t="str">
        <f>'Calculations - Case Temp 3'!E33</f>
        <v>Calculated L90 (hrs):</v>
      </c>
      <c r="M10" s="205" t="str">
        <f>IF(M6="","",'Calculations - Case Temp 3'!F33)</f>
        <v/>
      </c>
    </row>
    <row r="11" ht="16.5" spans="2:13">
      <c r="B11" s="186" t="s">
        <v>40</v>
      </c>
      <c r="C11" s="187" t="str">
        <f>IF(OR(C6="N/A",'TM-21 Inputs'!I34=""),"",C9*C10)</f>
        <v/>
      </c>
      <c r="F11" s="189" t="str">
        <f>'Calculations - Case Temp 1'!E34</f>
        <v>Reported L90 (hrs):</v>
      </c>
      <c r="G11" s="190">
        <f>IF(G6="","",'Calculations - Case Temp 1'!F34)</f>
        <v>57000</v>
      </c>
      <c r="H11" s="191"/>
      <c r="I11" s="206" t="str">
        <f>'Calculations - Case Temp 2'!E34</f>
        <v>Reported L90 (hrs):</v>
      </c>
      <c r="J11" s="190">
        <f>IF(J6="","",'Calculations - Case Temp 2'!F34)</f>
        <v>27000</v>
      </c>
      <c r="K11" s="191"/>
      <c r="L11" s="206" t="str">
        <f>'Calculations - Case Temp 3'!E34</f>
        <v>Reported L90 (hrs):</v>
      </c>
      <c r="M11" s="207" t="str">
        <f>IF(M6="","",'Calculations - Case Temp 3'!F34)</f>
        <v/>
      </c>
    </row>
    <row r="12" spans="2:3">
      <c r="B12" s="186" t="s">
        <v>41</v>
      </c>
      <c r="C12" s="168" t="str">
        <f>IF(OR(C6="N/A",'TM-21 Inputs'!I34=""),"",IF('TM-21 Inputs'!I34="","",C4*EXP(C11/(C10*C3))))</f>
        <v/>
      </c>
    </row>
    <row r="13" ht="16.5" spans="2:3">
      <c r="B13" s="192" t="s">
        <v>42</v>
      </c>
      <c r="C13" s="172">
        <f>IF('TM-21 Inputs'!I34="","",IF(C6="N/A",C5,IF('TM-21 Inputs'!I34="","",SQRT(C5*C8))))</f>
        <v>0.980533497486781</v>
      </c>
    </row>
    <row r="14" ht="15.75" spans="2:9">
      <c r="B14" s="165" t="s">
        <v>43</v>
      </c>
      <c r="C14" s="193">
        <f>IF('TM-21 Inputs'!I34="","",'TM-21 Inputs'!I34+273.15)</f>
        <v>328.15</v>
      </c>
      <c r="I14" s="1" t="s">
        <v>44</v>
      </c>
    </row>
    <row r="15" ht="18.75" spans="2:3">
      <c r="B15" s="167" t="s">
        <v>45</v>
      </c>
      <c r="C15" s="168">
        <f>IF('TM-21 Inputs'!I34="","",IF(C6="N/A",C4,C12*(EXP(-C9/C14))))</f>
        <v>1.51203693346858e-6</v>
      </c>
    </row>
    <row r="16" spans="2:3">
      <c r="B16" s="186" t="str">
        <f>CONCATENATE("Calculated L",'TM-21 Inputs'!I35," (hrs):")</f>
        <v>Calculated L90 (hrs):</v>
      </c>
      <c r="C16" s="194">
        <f>IF('TM-21 Inputs'!I34="","",ROUND((LN(100*C13/'TM-21 Inputs'!I35)/C15),-3))</f>
        <v>57000</v>
      </c>
    </row>
    <row r="17" ht="14.25" spans="2:3">
      <c r="B17" s="192" t="str">
        <f>CONCATENATE("Reported L",'TM-21 Inputs'!I35," (hrs):")</f>
        <v>Reported L90 (hrs):</v>
      </c>
      <c r="C17" s="195">
        <f>IF(C16="","",IF(OR(AND('TM-21 Inputs'!$I$18&gt;=20,$C$16&lt;6*'TM-21 Inputs'!$I$19),AND('TM-21 Inputs'!$I$18&gt;=10,'TM-21 Inputs'!$I$18&lt;=19,$C$16&lt;5.5*'TM-21 Inputs'!$I$19)),ROUND(C16,-3),IF('TM-21 Inputs'!$I$18&gt;=20,CONCATENATE("&gt;",ROUND((6*'TM-21 Inputs'!$I$19),-3)),IF(AND('TM-21 Inputs'!$I$18&gt;=10,'TM-21 Inputs'!$I$18&lt;=19),CONCATENATE("&gt;",ROUND(5.5*'TM-21 Inputs'!$I$19,-3)),"error"))))</f>
        <v>57000</v>
      </c>
    </row>
  </sheetData>
  <sheetProtection password="C696" sheet="1" objects="1" scenarios="1"/>
  <mergeCells count="4">
    <mergeCell ref="F4:M4"/>
    <mergeCell ref="F5:G5"/>
    <mergeCell ref="I5:J5"/>
    <mergeCell ref="L5:M5"/>
  </mergeCells>
  <conditionalFormatting sqref="C3">
    <cfRule type="cellIs" dxfId="0" priority="1" operator="equal">
      <formula>"In situ case temp too high"</formula>
    </cfRule>
  </conditionalFormatting>
  <pageMargins left="0.7" right="0.7" top="0.75" bottom="0.75" header="0.3" footer="0.3"/>
  <pageSetup paperSize="1" orientation="portrait" horizontalDpi="3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B1:L15"/>
  <sheetViews>
    <sheetView topLeftCell="J1" workbookViewId="0">
      <selection activeCell="K11" sqref="K11"/>
    </sheetView>
  </sheetViews>
  <sheetFormatPr defaultColWidth="9.10833333333333" defaultRowHeight="13.5"/>
  <cols>
    <col min="1" max="1" width="9.10833333333333" style="1" hidden="1" customWidth="1"/>
    <col min="2" max="2" width="37.8833333333333" style="1" hidden="1" customWidth="1"/>
    <col min="3" max="3" width="12" style="1" hidden="1" customWidth="1"/>
    <col min="4" max="4" width="9.10833333333333" style="1" hidden="1" customWidth="1"/>
    <col min="5" max="5" width="37.8833333333333" style="1" hidden="1" customWidth="1"/>
    <col min="6" max="6" width="12" style="1" hidden="1" customWidth="1"/>
    <col min="7" max="7" width="9.10833333333333" style="1" hidden="1" customWidth="1"/>
    <col min="8" max="8" width="37.8833333333333" style="1" hidden="1" customWidth="1"/>
    <col min="9" max="9" width="12" style="1" hidden="1" customWidth="1"/>
    <col min="10" max="10" width="9.10833333333333" style="1"/>
    <col min="11" max="11" width="19.4416666666667" style="1" customWidth="1"/>
    <col min="12" max="12" width="12" style="1" customWidth="1"/>
    <col min="13" max="16384" width="9.10833333333333" style="1"/>
  </cols>
  <sheetData>
    <row r="1" ht="14.25"/>
    <row r="2" ht="15.75" spans="2:12">
      <c r="B2" s="141" t="s">
        <v>46</v>
      </c>
      <c r="C2" s="142">
        <f>'TM-21 Inputs'!I16</f>
        <v>20</v>
      </c>
      <c r="E2" s="141" t="s">
        <v>46</v>
      </c>
      <c r="F2" s="142">
        <f>'TM-21 Inputs'!I16</f>
        <v>20</v>
      </c>
      <c r="H2" s="141" t="s">
        <v>46</v>
      </c>
      <c r="I2" s="142">
        <f>'TM-21 Inputs'!I16</f>
        <v>20</v>
      </c>
      <c r="K2" s="151" t="s">
        <v>47</v>
      </c>
      <c r="L2" s="152">
        <f>IFERROR('Product Inputs'!C3-273.15,"")</f>
        <v>55</v>
      </c>
    </row>
    <row r="3" ht="15.75" spans="2:12">
      <c r="B3" s="143" t="s">
        <v>48</v>
      </c>
      <c r="C3" s="144">
        <f>'TM-21 Inputs'!I17</f>
        <v>0</v>
      </c>
      <c r="E3" s="143" t="s">
        <v>48</v>
      </c>
      <c r="F3" s="144">
        <f>'TM-21 Inputs'!I17</f>
        <v>0</v>
      </c>
      <c r="H3" s="143" t="s">
        <v>48</v>
      </c>
      <c r="I3" s="144">
        <f>'TM-21 Inputs'!I17</f>
        <v>0</v>
      </c>
      <c r="K3" s="153" t="s">
        <v>49</v>
      </c>
      <c r="L3" s="154">
        <f>'Product Inputs'!C3</f>
        <v>328.15</v>
      </c>
    </row>
    <row r="4" ht="18.75" spans="2:12">
      <c r="B4" s="143" t="s">
        <v>50</v>
      </c>
      <c r="C4" s="144">
        <f>'TM-21 Inputs'!I18</f>
        <v>20</v>
      </c>
      <c r="E4" s="143" t="s">
        <v>50</v>
      </c>
      <c r="F4" s="144">
        <f>'TM-21 Inputs'!I18</f>
        <v>20</v>
      </c>
      <c r="H4" s="143" t="s">
        <v>50</v>
      </c>
      <c r="I4" s="144">
        <f>'TM-21 Inputs'!I18</f>
        <v>20</v>
      </c>
      <c r="K4" s="146" t="s">
        <v>27</v>
      </c>
      <c r="L4" s="155">
        <f>'Product Inputs'!C4</f>
        <v>1.51203693346858e-6</v>
      </c>
    </row>
    <row r="5" ht="27.75" spans="2:12">
      <c r="B5" s="143" t="s">
        <v>51</v>
      </c>
      <c r="C5" s="144">
        <f>'TM-21 Inputs'!I20</f>
        <v>150</v>
      </c>
      <c r="E5" s="143" t="s">
        <v>51</v>
      </c>
      <c r="F5" s="144">
        <f>'TM-21 Inputs'!I20</f>
        <v>150</v>
      </c>
      <c r="H5" s="143" t="s">
        <v>51</v>
      </c>
      <c r="I5" s="144">
        <f>'TM-21 Inputs'!I20</f>
        <v>150</v>
      </c>
      <c r="K5" s="156" t="s">
        <v>29</v>
      </c>
      <c r="L5" s="157">
        <f>'Product Inputs'!C5</f>
        <v>0.980533497486781</v>
      </c>
    </row>
    <row r="6" ht="15.75" spans="2:12">
      <c r="B6" s="143" t="s">
        <v>52</v>
      </c>
      <c r="C6" s="144">
        <f>'TM-21 Inputs'!I19</f>
        <v>12000</v>
      </c>
      <c r="E6" s="143" t="s">
        <v>52</v>
      </c>
      <c r="F6" s="144">
        <f>'TM-21 Inputs'!I19</f>
        <v>12000</v>
      </c>
      <c r="H6" s="143" t="s">
        <v>52</v>
      </c>
      <c r="I6" s="144" t="str">
        <f>IF(I8="","",'TM-21 Inputs'!I19)</f>
        <v/>
      </c>
      <c r="K6" s="151" t="s">
        <v>53</v>
      </c>
      <c r="L6" s="152" t="str">
        <f>IFERROR('Product Inputs'!C6-273.15,"")</f>
        <v/>
      </c>
    </row>
    <row r="7" ht="27" spans="2:12">
      <c r="B7" s="143" t="s">
        <v>54</v>
      </c>
      <c r="C7" s="145">
        <f>C6-MIN('Calculations - Case Temp 1'!E6:E25)</f>
        <v>6000</v>
      </c>
      <c r="E7" s="143" t="s">
        <v>54</v>
      </c>
      <c r="F7" s="145">
        <f>C6-MIN('Calculations - Case Temp 2'!E6:E25)</f>
        <v>6000</v>
      </c>
      <c r="H7" s="143" t="s">
        <v>54</v>
      </c>
      <c r="I7" s="145" t="str">
        <f>IF(I8="","",C6-MIN('Calculations - Case Temp 3'!E6:E25))</f>
        <v/>
      </c>
      <c r="K7" s="153" t="s">
        <v>55</v>
      </c>
      <c r="L7" s="154" t="str">
        <f>'Product Inputs'!C6</f>
        <v>N/A</v>
      </c>
    </row>
    <row r="8" ht="18.75" spans="2:12">
      <c r="B8" s="143" t="s">
        <v>56</v>
      </c>
      <c r="C8" s="144">
        <f>IF('TM-21 Inputs'!I21="","",'TM-21 Inputs'!I21)</f>
        <v>55</v>
      </c>
      <c r="E8" s="143" t="s">
        <v>56</v>
      </c>
      <c r="F8" s="144">
        <f>IF('TM-21 Inputs'!I22="","",'TM-21 Inputs'!I22)</f>
        <v>85</v>
      </c>
      <c r="H8" s="143" t="s">
        <v>56</v>
      </c>
      <c r="I8" s="144" t="str">
        <f>IF('TM-21 Inputs'!I23="","",'TM-21 Inputs'!I23)</f>
        <v/>
      </c>
      <c r="K8" s="146" t="s">
        <v>57</v>
      </c>
      <c r="L8" s="155" t="str">
        <f>'Product Inputs'!C7</f>
        <v>N/A</v>
      </c>
    </row>
    <row r="9" ht="16.5" spans="2:12">
      <c r="B9" s="146" t="s">
        <v>58</v>
      </c>
      <c r="C9" s="147">
        <f>'Calculations - Case Temp 1'!F31</f>
        <v>1.51203693346858e-6</v>
      </c>
      <c r="E9" s="146" t="s">
        <v>58</v>
      </c>
      <c r="F9" s="147">
        <f>'Calculations - Case Temp 2'!F31</f>
        <v>3.53194450347943e-6</v>
      </c>
      <c r="H9" s="146" t="s">
        <v>58</v>
      </c>
      <c r="I9" s="147" t="str">
        <f>IF(I8="","",'Calculations - Case Temp 3'!F31)</f>
        <v/>
      </c>
      <c r="K9" s="156" t="s">
        <v>37</v>
      </c>
      <c r="L9" s="157" t="str">
        <f>'Product Inputs'!C8</f>
        <v>N/A</v>
      </c>
    </row>
    <row r="10" ht="15.75" spans="2:12">
      <c r="B10" s="143" t="s">
        <v>59</v>
      </c>
      <c r="C10" s="147">
        <f>'Calculations - Case Temp 1'!F32</f>
        <v>0.980533497486781</v>
      </c>
      <c r="E10" s="143" t="s">
        <v>59</v>
      </c>
      <c r="F10" s="147">
        <f>'Calculations - Case Temp 2'!F32</f>
        <v>0.990536976377486</v>
      </c>
      <c r="H10" s="143" t="s">
        <v>59</v>
      </c>
      <c r="I10" s="147" t="str">
        <f>IF(I8="","",'Calculations - Case Temp 3'!F32)</f>
        <v/>
      </c>
      <c r="K10" s="151" t="s">
        <v>38</v>
      </c>
      <c r="L10" s="158" t="str">
        <f>'Product Inputs'!C9</f>
        <v/>
      </c>
    </row>
    <row r="11" spans="2:12">
      <c r="B11" s="143" t="str">
        <f>CONCATENATE("Calculated L",'TM-21 Inputs'!I35," (hrs):")</f>
        <v>Calculated L90 (hrs):</v>
      </c>
      <c r="C11" s="148">
        <f>'Calculations - Case Temp 1'!F33</f>
        <v>57000</v>
      </c>
      <c r="E11" s="143" t="str">
        <f>CONCATENATE("Calculated L",'TM-21 Inputs'!I35," (hrs):")</f>
        <v>Calculated L90 (hrs):</v>
      </c>
      <c r="F11" s="148">
        <f>'Calculations - Case Temp 2'!F33</f>
        <v>27000</v>
      </c>
      <c r="H11" s="143" t="str">
        <f>CONCATENATE("Calculated L",'TM-21 Inputs'!I35," (hrs):")</f>
        <v>Calculated L90 (hrs):</v>
      </c>
      <c r="I11" s="148" t="str">
        <f>IF(I8="","",'Calculations - Case Temp 3'!F33)</f>
        <v/>
      </c>
      <c r="K11" s="153" t="s">
        <v>41</v>
      </c>
      <c r="L11" s="157" t="str">
        <f>'Product Inputs'!C12</f>
        <v/>
      </c>
    </row>
    <row r="12" ht="16.5" spans="2:12">
      <c r="B12" s="149" t="str">
        <f>CONCATENATE("Reported L",'TM-21 Inputs'!I35," (hrs):")</f>
        <v>Reported L90 (hrs):</v>
      </c>
      <c r="C12" s="150">
        <f>'Calculations - Case Temp 1'!F34</f>
        <v>57000</v>
      </c>
      <c r="E12" s="149" t="str">
        <f>CONCATENATE("Reported L",'TM-21 Inputs'!I35," (hrs):")</f>
        <v>Reported L90 (hrs):</v>
      </c>
      <c r="F12" s="150">
        <f>'Calculations - Case Temp 2'!F34</f>
        <v>27000</v>
      </c>
      <c r="H12" s="149" t="str">
        <f>CONCATENATE("Reported L",'TM-21 Inputs'!I35," (hrs):")</f>
        <v>Reported L90 (hrs):</v>
      </c>
      <c r="I12" s="150" t="str">
        <f>IF(I8="","",'Calculations - Case Temp 3'!F34)</f>
        <v/>
      </c>
      <c r="K12" s="156" t="s">
        <v>42</v>
      </c>
      <c r="L12" s="159">
        <f>'Product Inputs'!C13</f>
        <v>0.980533497486781</v>
      </c>
    </row>
    <row r="13" ht="15.75" spans="11:12">
      <c r="K13" s="151" t="s">
        <v>60</v>
      </c>
      <c r="L13" s="142">
        <f>IF('Product Inputs'!C14="","",'Product Inputs'!C14-273.15)</f>
        <v>55</v>
      </c>
    </row>
    <row r="14" ht="15.75" spans="11:12">
      <c r="K14" s="153" t="s">
        <v>61</v>
      </c>
      <c r="L14" s="144">
        <f>'Product Inputs'!C14</f>
        <v>328.15</v>
      </c>
    </row>
    <row r="15" ht="19.5" spans="11:12">
      <c r="K15" s="160" t="s">
        <v>45</v>
      </c>
      <c r="L15" s="161">
        <f>'Product Inputs'!C15</f>
        <v>1.51203693346858e-6</v>
      </c>
    </row>
  </sheetData>
  <sheetProtection password="C696" sheet="1" objects="1" scenarios="1"/>
  <pageMargins left="0.7" right="0.7" top="0.75" bottom="0.75" header="0.3" footer="0.3"/>
  <pageSetup paperSize="1" orientation="portrait"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O32"/>
  <sheetViews>
    <sheetView zoomScale="90" zoomScaleNormal="90" workbookViewId="0">
      <selection activeCell="C9" sqref="C9:J9"/>
    </sheetView>
  </sheetViews>
  <sheetFormatPr defaultColWidth="9.10833333333333" defaultRowHeight="13.5"/>
  <cols>
    <col min="1" max="1" width="1.88333333333333" style="48" customWidth="1"/>
    <col min="2" max="2" width="2.55833333333333" style="48" customWidth="1"/>
    <col min="3" max="3" width="23" style="48" customWidth="1"/>
    <col min="4" max="4" width="13.5583333333333" style="48" customWidth="1"/>
    <col min="5" max="5" width="2.10833333333333" style="48" customWidth="1"/>
    <col min="6" max="6" width="23" style="48" customWidth="1"/>
    <col min="7" max="7" width="13.5583333333333" style="48" customWidth="1"/>
    <col min="8" max="8" width="2.10833333333333" style="48" customWidth="1"/>
    <col min="9" max="9" width="23" style="48" customWidth="1"/>
    <col min="10" max="10" width="13.5583333333333" style="48" customWidth="1"/>
    <col min="11" max="11" width="3.88333333333333" style="48" customWidth="1"/>
    <col min="12" max="12" width="17.4416666666667" style="48" customWidth="1"/>
    <col min="13" max="13" width="33.4416666666667" style="48" customWidth="1"/>
    <col min="14" max="14" width="2.44166666666667" style="48" customWidth="1"/>
    <col min="15" max="15" width="1.88333333333333" style="48" customWidth="1"/>
    <col min="16" max="16384" width="9.10833333333333" style="48"/>
  </cols>
  <sheetData>
    <row r="1" ht="11.25" customHeight="1" spans="1:15">
      <c r="A1" s="49"/>
      <c r="B1" s="49"/>
      <c r="C1" s="50"/>
      <c r="D1" s="50"/>
      <c r="E1" s="50"/>
      <c r="F1" s="50"/>
      <c r="G1" s="50"/>
      <c r="H1" s="50"/>
      <c r="I1" s="50"/>
      <c r="J1" s="50"/>
      <c r="K1" s="50"/>
      <c r="L1" s="50"/>
      <c r="M1" s="50"/>
      <c r="N1" s="50"/>
      <c r="O1" s="50"/>
    </row>
    <row r="2" ht="15" customHeight="1" spans="1:15">
      <c r="A2" s="49"/>
      <c r="B2" s="51" t="s">
        <v>62</v>
      </c>
      <c r="C2" s="51"/>
      <c r="D2" s="51"/>
      <c r="E2" s="51"/>
      <c r="F2" s="51"/>
      <c r="G2" s="51"/>
      <c r="H2" s="51"/>
      <c r="I2" s="51"/>
      <c r="J2" s="51"/>
      <c r="K2" s="51"/>
      <c r="L2" s="51"/>
      <c r="M2" s="51"/>
      <c r="N2" s="51"/>
      <c r="O2" s="50"/>
    </row>
    <row r="3" ht="15" customHeight="1" spans="1:15">
      <c r="A3" s="49"/>
      <c r="B3" s="51"/>
      <c r="C3" s="51"/>
      <c r="D3" s="51"/>
      <c r="E3" s="51"/>
      <c r="F3" s="51"/>
      <c r="G3" s="51"/>
      <c r="H3" s="51"/>
      <c r="I3" s="51"/>
      <c r="J3" s="51"/>
      <c r="K3" s="51"/>
      <c r="L3" s="51"/>
      <c r="M3" s="51"/>
      <c r="N3" s="51"/>
      <c r="O3" s="50"/>
    </row>
    <row r="4" ht="15" customHeight="1" spans="1:15">
      <c r="A4" s="49"/>
      <c r="B4" s="51"/>
      <c r="C4" s="51"/>
      <c r="D4" s="51"/>
      <c r="E4" s="51"/>
      <c r="F4" s="51"/>
      <c r="G4" s="51"/>
      <c r="H4" s="51"/>
      <c r="I4" s="51"/>
      <c r="J4" s="51"/>
      <c r="K4" s="51"/>
      <c r="L4" s="51"/>
      <c r="M4" s="51"/>
      <c r="N4" s="51"/>
      <c r="O4" s="50"/>
    </row>
    <row r="5" ht="12" customHeight="1" spans="1:15">
      <c r="A5" s="49"/>
      <c r="B5" s="51"/>
      <c r="C5" s="51"/>
      <c r="D5" s="51"/>
      <c r="E5" s="51"/>
      <c r="F5" s="51"/>
      <c r="G5" s="51"/>
      <c r="H5" s="51"/>
      <c r="I5" s="51"/>
      <c r="J5" s="51"/>
      <c r="K5" s="51"/>
      <c r="L5" s="51"/>
      <c r="M5" s="51"/>
      <c r="N5" s="51"/>
      <c r="O5" s="50"/>
    </row>
    <row r="6" ht="8.25" customHeight="1" spans="1:15">
      <c r="A6" s="49"/>
      <c r="B6" s="51"/>
      <c r="C6" s="51"/>
      <c r="D6" s="51"/>
      <c r="E6" s="51"/>
      <c r="F6" s="51"/>
      <c r="G6" s="51"/>
      <c r="H6" s="51"/>
      <c r="I6" s="51"/>
      <c r="J6" s="51"/>
      <c r="K6" s="51"/>
      <c r="L6" s="51"/>
      <c r="M6" s="51"/>
      <c r="N6" s="51"/>
      <c r="O6" s="50"/>
    </row>
    <row r="7" ht="10.5" customHeight="1" spans="1:15">
      <c r="A7" s="49"/>
      <c r="B7" s="50"/>
      <c r="C7" s="50"/>
      <c r="D7" s="50"/>
      <c r="E7" s="50"/>
      <c r="F7" s="50"/>
      <c r="G7" s="50"/>
      <c r="H7" s="50"/>
      <c r="I7" s="50"/>
      <c r="J7" s="50"/>
      <c r="K7" s="50"/>
      <c r="L7" s="50"/>
      <c r="M7" s="50"/>
      <c r="N7" s="50"/>
      <c r="O7" s="49"/>
    </row>
    <row r="8" ht="15" spans="1:15">
      <c r="A8" s="49"/>
      <c r="B8" s="52"/>
      <c r="C8" s="52"/>
      <c r="D8" s="52"/>
      <c r="E8" s="52"/>
      <c r="F8" s="52"/>
      <c r="G8" s="52"/>
      <c r="H8" s="52"/>
      <c r="I8" s="52"/>
      <c r="J8" s="52"/>
      <c r="K8" s="52"/>
      <c r="L8" s="52"/>
      <c r="M8" s="52"/>
      <c r="N8" s="52"/>
      <c r="O8" s="50"/>
    </row>
    <row r="9" ht="15.75" spans="1:15">
      <c r="A9" s="49"/>
      <c r="B9" s="52"/>
      <c r="C9" s="53" t="s">
        <v>28</v>
      </c>
      <c r="D9" s="54"/>
      <c r="E9" s="54"/>
      <c r="F9" s="54"/>
      <c r="G9" s="54"/>
      <c r="H9" s="54"/>
      <c r="I9" s="54"/>
      <c r="J9" s="103"/>
      <c r="K9" s="52"/>
      <c r="L9" s="104" t="s">
        <v>63</v>
      </c>
      <c r="M9" s="105"/>
      <c r="N9" s="52"/>
      <c r="O9" s="50"/>
    </row>
    <row r="10" ht="15" customHeight="1" spans="1:15">
      <c r="A10" s="49"/>
      <c r="B10" s="52"/>
      <c r="C10" s="55" t="s">
        <v>64</v>
      </c>
      <c r="D10" s="56"/>
      <c r="E10" s="57"/>
      <c r="F10" s="58" t="str">
        <f>IF('TM-21 Inputs'!H9="","",'TM-21 Inputs'!H9)</f>
        <v/>
      </c>
      <c r="G10" s="59"/>
      <c r="H10" s="59"/>
      <c r="I10" s="59"/>
      <c r="J10" s="106"/>
      <c r="K10" s="52"/>
      <c r="L10" s="107" t="s">
        <v>65</v>
      </c>
      <c r="M10" s="108"/>
      <c r="N10" s="52"/>
      <c r="O10" s="50"/>
    </row>
    <row r="11" ht="18.75" spans="1:15">
      <c r="A11" s="49"/>
      <c r="B11" s="52"/>
      <c r="C11" s="60"/>
      <c r="D11" s="61"/>
      <c r="E11" s="62"/>
      <c r="F11" s="63"/>
      <c r="G11" s="64"/>
      <c r="H11" s="64"/>
      <c r="I11" s="64"/>
      <c r="J11" s="109"/>
      <c r="K11" s="52"/>
      <c r="L11" s="110" t="s">
        <v>66</v>
      </c>
      <c r="M11" s="111">
        <f>IF('TM-21 Projection'!L2="","-",'TM-21 Projection'!L2)</f>
        <v>55</v>
      </c>
      <c r="N11" s="52"/>
      <c r="O11" s="50"/>
    </row>
    <row r="12" ht="28.5" customHeight="1" spans="1:15">
      <c r="A12" s="49"/>
      <c r="B12" s="52"/>
      <c r="C12" s="65"/>
      <c r="D12" s="66"/>
      <c r="E12" s="67"/>
      <c r="F12" s="68"/>
      <c r="G12" s="69"/>
      <c r="H12" s="69"/>
      <c r="I12" s="69"/>
      <c r="J12" s="112"/>
      <c r="K12" s="52"/>
      <c r="L12" s="113" t="s">
        <v>67</v>
      </c>
      <c r="M12" s="114">
        <f>IF(OR('TM-21 Projection'!L3="",'TM-21 Projection'!L3="In situ case temp too high"),"-",'TM-21 Projection'!L3)</f>
        <v>328.15</v>
      </c>
      <c r="N12" s="52"/>
      <c r="O12" s="50"/>
    </row>
    <row r="13" ht="19.5" spans="1:15">
      <c r="A13" s="49"/>
      <c r="B13" s="52"/>
      <c r="C13" s="70" t="str">
        <f>IF('TM-21 Inputs'!I21="","",CONCATENATE("Test Condition 1 - ",'TM-21 Inputs'!I21,"⁰C Case Temp"))</f>
        <v>Test Condition 1 - 55⁰C Case Temp</v>
      </c>
      <c r="D13" s="71"/>
      <c r="E13" s="72"/>
      <c r="F13" s="70" t="str">
        <f>IF('TM-21 Inputs'!I22="","",CONCATENATE("Test Condition 2 - ",'TM-21 Inputs'!I22,"⁰C Case Temp"))</f>
        <v>Test Condition 2 - 85⁰C Case Temp</v>
      </c>
      <c r="G13" s="71"/>
      <c r="H13" s="72"/>
      <c r="I13" s="70" t="str">
        <f>IF('TM-21 Inputs'!I23="","",CONCATENATE("Test Condition 3 - ",'TM-21 Inputs'!I23,"⁰C Case Temp"))</f>
        <v/>
      </c>
      <c r="J13" s="71"/>
      <c r="K13" s="52"/>
      <c r="L13" s="115" t="s">
        <v>68</v>
      </c>
      <c r="M13" s="116">
        <f>IF('TM-21 Projection'!L4="","-",'TM-21 Projection'!L4)</f>
        <v>1.51203693346858e-6</v>
      </c>
      <c r="N13" s="52"/>
      <c r="O13" s="50"/>
    </row>
    <row r="14" s="47" customFormat="1" ht="18.75" spans="1:15">
      <c r="A14" s="49"/>
      <c r="B14" s="73"/>
      <c r="C14" s="74" t="s">
        <v>69</v>
      </c>
      <c r="D14" s="75">
        <f>IF(OR('TM-21 Inputs'!$I$16="",C13=""),"-",'TM-21 Inputs'!$I$16)</f>
        <v>20</v>
      </c>
      <c r="E14" s="76"/>
      <c r="F14" s="74" t="str">
        <f>C14</f>
        <v>Sample size</v>
      </c>
      <c r="G14" s="75">
        <f>IF(OR('TM-21 Inputs'!$I$16="",F13=""),"-",'TM-21 Inputs'!$I$16)</f>
        <v>20</v>
      </c>
      <c r="H14" s="76"/>
      <c r="I14" s="74" t="str">
        <f>C14</f>
        <v>Sample size</v>
      </c>
      <c r="J14" s="75" t="str">
        <f>IF(OR('TM-21 Inputs'!$I$16="",I13=""),"-",'TM-21 Inputs'!$I$16)</f>
        <v>-</v>
      </c>
      <c r="K14" s="73"/>
      <c r="L14" s="117" t="s">
        <v>70</v>
      </c>
      <c r="M14" s="118">
        <f>IF('TM-21 Projection'!L5="","-",'TM-21 Projection'!L5)</f>
        <v>0.980533497486781</v>
      </c>
      <c r="N14" s="73"/>
      <c r="O14" s="50"/>
    </row>
    <row r="15" s="47" customFormat="1" ht="18.75" spans="1:15">
      <c r="A15" s="49"/>
      <c r="B15" s="73"/>
      <c r="C15" s="74" t="s">
        <v>71</v>
      </c>
      <c r="D15" s="75">
        <f>IF(OR('TM-21 Inputs'!$I$17="",C13=""),"-",'TM-21 Inputs'!$I$17)</f>
        <v>0</v>
      </c>
      <c r="E15" s="76"/>
      <c r="F15" s="74" t="str">
        <f t="shared" ref="F15:F21" si="0">C15</f>
        <v>Number of failures</v>
      </c>
      <c r="G15" s="75">
        <f>IF(OR('TM-21 Inputs'!$I$17="",F13=""),"-",'TM-21 Inputs'!$I$17)</f>
        <v>0</v>
      </c>
      <c r="H15" s="76"/>
      <c r="I15" s="74" t="str">
        <f t="shared" ref="I15:I21" si="1">C15</f>
        <v>Number of failures</v>
      </c>
      <c r="J15" s="75" t="str">
        <f>IF(OR('TM-21 Inputs'!$I$17="",I13=""),"-",'TM-21 Inputs'!$I$17)</f>
        <v>-</v>
      </c>
      <c r="K15" s="73"/>
      <c r="L15" s="119" t="s">
        <v>72</v>
      </c>
      <c r="M15" s="120" t="str">
        <f>IF('TM-21 Projection'!L6="","-",'TM-21 Projection'!L6)</f>
        <v>-</v>
      </c>
      <c r="N15" s="73"/>
      <c r="O15" s="50"/>
    </row>
    <row r="16" s="47" customFormat="1" ht="28.5" spans="1:15">
      <c r="A16" s="49"/>
      <c r="B16" s="73"/>
      <c r="C16" s="74" t="s">
        <v>73</v>
      </c>
      <c r="D16" s="75">
        <f>IF(OR('TM-21 Inputs'!$I$20="",C13=""),"-",'TM-21 Inputs'!$I$20)</f>
        <v>150</v>
      </c>
      <c r="E16" s="76"/>
      <c r="F16" s="74" t="str">
        <f t="shared" si="0"/>
        <v>DUT drive current used in the test (mA)</v>
      </c>
      <c r="G16" s="75">
        <f>IF(OR('TM-21 Inputs'!$I$20="",F13=""),"-",'TM-21 Inputs'!$I$20)</f>
        <v>150</v>
      </c>
      <c r="H16" s="76"/>
      <c r="I16" s="74" t="str">
        <f t="shared" si="1"/>
        <v>DUT drive current used in the test (mA)</v>
      </c>
      <c r="J16" s="75" t="str">
        <f>IF(OR('TM-21 Inputs'!$I$20="",I13=""),"-",'TM-21 Inputs'!$I$20)</f>
        <v>-</v>
      </c>
      <c r="K16" s="73"/>
      <c r="L16" s="113" t="s">
        <v>74</v>
      </c>
      <c r="M16" s="114" t="str">
        <f>IF(OR('TM-21 Projection'!L7="",'TM-21 Projection'!L7="N/A"),"-",'TM-21 Projection'!L7)</f>
        <v>-</v>
      </c>
      <c r="N16" s="73"/>
      <c r="O16" s="50"/>
    </row>
    <row r="17" s="47" customFormat="1" ht="18.75" spans="1:15">
      <c r="A17" s="49"/>
      <c r="B17" s="73"/>
      <c r="C17" s="74" t="s">
        <v>75</v>
      </c>
      <c r="D17" s="77">
        <f>IF(OR('TM-21 Inputs'!I19="",C13=""),"-",'TM-21 Inputs'!I19)</f>
        <v>12000</v>
      </c>
      <c r="E17" s="76"/>
      <c r="F17" s="74" t="str">
        <f t="shared" si="0"/>
        <v>Test duration (hours)</v>
      </c>
      <c r="G17" s="78">
        <f>IF(OR('TM-21 Inputs'!I19="",F13=""),"-",'TM-21 Inputs'!I19)</f>
        <v>12000</v>
      </c>
      <c r="H17" s="76"/>
      <c r="I17" s="74" t="str">
        <f t="shared" si="1"/>
        <v>Test duration (hours)</v>
      </c>
      <c r="J17" s="78" t="str">
        <f>IF(OR('TM-21 Inputs'!I19="",I13=""),"-",'TM-21 Inputs'!I19)</f>
        <v>-</v>
      </c>
      <c r="K17" s="73"/>
      <c r="L17" s="115" t="s">
        <v>76</v>
      </c>
      <c r="M17" s="116" t="str">
        <f>IF(OR('TM-21 Projection'!L8="",'TM-21 Projection'!L8="N/A"),"-",'TM-21 Projection'!L8)</f>
        <v>-</v>
      </c>
      <c r="N17" s="73"/>
      <c r="O17" s="50"/>
    </row>
    <row r="18" s="47" customFormat="1" ht="36" customHeight="1" spans="1:15">
      <c r="A18" s="49"/>
      <c r="B18" s="79"/>
      <c r="C18" s="80" t="s">
        <v>77</v>
      </c>
      <c r="D18" s="81" t="str">
        <f>IF(OR('TM-21 Inputs'!I19="",C13=""),"-",IF(SUM('Calculations - Case Temp 1'!E6:E25)=0,"-",CONCATENATE(TEXT(MIN('Calculations - Case Temp 1'!E6:E25),"#,##0")," - ",TEXT(MAX('Calculations - Case Temp 1'!E6:E25),"#,##0"))))</f>
        <v>6,000 - 12,000</v>
      </c>
      <c r="E18" s="82"/>
      <c r="F18" s="80" t="str">
        <f t="shared" si="0"/>
        <v>Test duration used for projection (hour to hour)</v>
      </c>
      <c r="G18" s="83" t="str">
        <f>IF(OR('TM-21 Inputs'!I19="",F13=""),"-",IF(SUM('Calculations - Case Temp 1'!E6:E25)=0,"-",CONCATENATE(TEXT(MIN('Calculations - Case Temp 1'!E6:E25),"#,##0")," - ",TEXT(MAX('Calculations - Case Temp 1'!E6:E25),"#,##0"))))</f>
        <v>6,000 - 12,000</v>
      </c>
      <c r="H18" s="82"/>
      <c r="I18" s="80" t="str">
        <f t="shared" si="1"/>
        <v>Test duration used for projection (hour to hour)</v>
      </c>
      <c r="J18" s="83" t="str">
        <f>IF(OR('TM-21 Inputs'!I19="",I13=""),"-",IF(SUM('Calculations - Case Temp 1'!E6:E25)=0,"-",CONCATENATE(TEXT(MIN('Calculations - Case Temp 1'!E6:E25),"#,##0")," - ",TEXT(MAX('Calculations - Case Temp 1'!E6:E25),"#,##0"))))</f>
        <v>-</v>
      </c>
      <c r="K18" s="73"/>
      <c r="L18" s="121" t="s">
        <v>78</v>
      </c>
      <c r="M18" s="122" t="str">
        <f>IF(OR('TM-21 Projection'!L9="",'TM-21 Projection'!L9="N/A"),"-",'TM-21 Projection'!L9)</f>
        <v>-</v>
      </c>
      <c r="N18" s="73"/>
      <c r="O18" s="50"/>
    </row>
    <row r="19" s="47" customFormat="1" ht="28.5" spans="1:15">
      <c r="A19" s="49"/>
      <c r="B19" s="73"/>
      <c r="C19" s="74" t="s">
        <v>79</v>
      </c>
      <c r="D19" s="84">
        <f>IF('Product Inputs'!G6="","-",'Product Inputs'!G6)</f>
        <v>55</v>
      </c>
      <c r="E19" s="76"/>
      <c r="F19" s="74" t="str">
        <f t="shared" si="0"/>
        <v>Tested case temperature (⁰C)</v>
      </c>
      <c r="G19" s="84">
        <f>IF('Product Inputs'!J6="","-",'Product Inputs'!J6)</f>
        <v>85</v>
      </c>
      <c r="H19" s="76"/>
      <c r="I19" s="74" t="str">
        <f t="shared" si="1"/>
        <v>Tested case temperature (⁰C)</v>
      </c>
      <c r="J19" s="84" t="str">
        <f>IF('Product Inputs'!M6="","-",'Product Inputs'!M6)</f>
        <v>-</v>
      </c>
      <c r="K19" s="73"/>
      <c r="L19" s="119" t="s">
        <v>80</v>
      </c>
      <c r="M19" s="123" t="str">
        <f>IF(OR(M13&lt;0,M17&lt;0),"-",IF('TM-21 Projection'!L10="","-",'TM-21 Projection'!L10))</f>
        <v>-</v>
      </c>
      <c r="N19" s="73"/>
      <c r="O19" s="50"/>
    </row>
    <row r="20" s="47" customFormat="1" ht="14.25" spans="1:15">
      <c r="A20" s="49"/>
      <c r="B20" s="73"/>
      <c r="C20" s="74" t="s">
        <v>81</v>
      </c>
      <c r="D20" s="85">
        <f>IF('Product Inputs'!G8="","-",'Product Inputs'!G8)</f>
        <v>1.51203693346858e-6</v>
      </c>
      <c r="E20" s="76"/>
      <c r="F20" s="74" t="str">
        <f t="shared" si="0"/>
        <v>α</v>
      </c>
      <c r="G20" s="85">
        <f>IF('Product Inputs'!J8="","-",'Product Inputs'!J8)</f>
        <v>3.53194450347943e-6</v>
      </c>
      <c r="H20" s="76"/>
      <c r="I20" s="74" t="str">
        <f t="shared" si="1"/>
        <v>α</v>
      </c>
      <c r="J20" s="85" t="str">
        <f>IF('Product Inputs'!M8="","-",'Product Inputs'!M8)</f>
        <v>-</v>
      </c>
      <c r="K20" s="73"/>
      <c r="L20" s="113" t="s">
        <v>41</v>
      </c>
      <c r="M20" s="116" t="str">
        <f>IF(OR(M13&lt;0,M17&lt;0),"-",IF('TM-21 Projection'!L11="","-",'TM-21 Projection'!L11))</f>
        <v>-</v>
      </c>
      <c r="N20" s="73"/>
      <c r="O20" s="50"/>
    </row>
    <row r="21" s="47" customFormat="1" ht="19.5" spans="1:15">
      <c r="A21" s="49"/>
      <c r="B21" s="73"/>
      <c r="C21" s="86" t="s">
        <v>82</v>
      </c>
      <c r="D21" s="87">
        <f>IF('Product Inputs'!G9="","-",'Product Inputs'!G9)</f>
        <v>0.980533497486781</v>
      </c>
      <c r="E21" s="76"/>
      <c r="F21" s="86" t="str">
        <f t="shared" si="0"/>
        <v>B</v>
      </c>
      <c r="G21" s="87">
        <f>IF('Product Inputs'!J9="","-",'Product Inputs'!J9)</f>
        <v>0.990536976377486</v>
      </c>
      <c r="H21" s="76"/>
      <c r="I21" s="86" t="str">
        <f t="shared" si="1"/>
        <v>B</v>
      </c>
      <c r="J21" s="87" t="str">
        <f>IF('Product Inputs'!M9="","-",'Product Inputs'!M9)</f>
        <v>-</v>
      </c>
      <c r="K21" s="73"/>
      <c r="L21" s="121" t="s">
        <v>83</v>
      </c>
      <c r="M21" s="122">
        <f>IF('TM-21 Projection'!L12="","-",'TM-21 Projection'!L12)</f>
        <v>0.980533497486781</v>
      </c>
      <c r="N21" s="73"/>
      <c r="O21" s="50"/>
    </row>
    <row r="22" s="47" customFormat="1" ht="28.5" spans="1:15">
      <c r="A22" s="49"/>
      <c r="B22" s="73"/>
      <c r="C22" s="88" t="str">
        <f>IF('TM-21 Inputs'!I19="","Calculated L70(Dk) (hours)",CONCATENATE("Calculated L70(",ROUND('TM-21 Inputs'!I19/1000,0),"k) (hours)"))</f>
        <v>Calculated L70(12k) (hours)</v>
      </c>
      <c r="D22" s="89">
        <f>IF('Product Inputs'!G10="","-",ROUND('Product Inputs'!G10,-3))</f>
        <v>57000</v>
      </c>
      <c r="E22" s="76"/>
      <c r="F22" s="88" t="str">
        <f>IF('TM-21 Inputs'!I19="","Calculated L70(Dk) (hours)",CONCATENATE("Calculated L70(",ROUND('TM-21 Inputs'!I19/1000,0),"k) (hours)"))</f>
        <v>Calculated L70(12k) (hours)</v>
      </c>
      <c r="G22" s="89">
        <f>IF('Product Inputs'!J10="","-",ROUND('Product Inputs'!J10,-3))</f>
        <v>27000</v>
      </c>
      <c r="H22" s="76"/>
      <c r="I22" s="88" t="str">
        <f>IF('TM-21 Inputs'!I19="","Calculated L70(Dk) (hours)",CONCATENATE("Calculated L70(",ROUND('TM-21 Inputs'!I19/1000,0),"k) (hours)"))</f>
        <v>Calculated L70(12k) (hours)</v>
      </c>
      <c r="J22" s="89" t="str">
        <f>IF('Product Inputs'!M10="","-",ROUND('Product Inputs'!M10,-3))</f>
        <v>-</v>
      </c>
      <c r="K22" s="73"/>
      <c r="L22" s="110" t="s">
        <v>84</v>
      </c>
      <c r="M22" s="111">
        <f>IF('TM-21 Projection'!L13="","-",'TM-21 Projection'!L13)</f>
        <v>55</v>
      </c>
      <c r="N22" s="73"/>
      <c r="O22" s="50"/>
    </row>
    <row r="23" s="47" customFormat="1" ht="19.5" spans="1:15">
      <c r="A23" s="49"/>
      <c r="B23" s="73"/>
      <c r="C23" s="90" t="str">
        <f>IF('TM-21 Inputs'!I19="","Reported L70(Dk) (hours)",CONCATENATE("Reported L70(",ROUND('TM-21 Inputs'!I19/1000,0),"k) (hours)"))</f>
        <v>Reported L70(12k) (hours)</v>
      </c>
      <c r="D23" s="91">
        <f>IF('Product Inputs'!G11="","-",'Product Inputs'!G11)</f>
        <v>57000</v>
      </c>
      <c r="E23" s="76"/>
      <c r="F23" s="90" t="str">
        <f>IF('TM-21 Inputs'!I19="","Reported L70(Dk) (hours)",CONCATENATE("Reported L70(",ROUND('TM-21 Inputs'!I19/1000,0),"k) (hours)"))</f>
        <v>Reported L70(12k) (hours)</v>
      </c>
      <c r="G23" s="91">
        <f>IF('Product Inputs'!J11="","-",'Product Inputs'!J11)</f>
        <v>27000</v>
      </c>
      <c r="H23" s="76"/>
      <c r="I23" s="90" t="str">
        <f>IF('TM-21 Inputs'!I19="","Reported L70(Dk) (hours)",CONCATENATE("Reported L70(",ROUND('TM-21 Inputs'!I19/1000,0),"k) (hours)"))</f>
        <v>Reported L70(12k) (hours)</v>
      </c>
      <c r="J23" s="91" t="str">
        <f>IF('Product Inputs'!M11="","-",'Product Inputs'!M11)</f>
        <v>-</v>
      </c>
      <c r="K23" s="73"/>
      <c r="L23" s="113" t="s">
        <v>85</v>
      </c>
      <c r="M23" s="124">
        <f>IF('TM-21 Projection'!L14="","-",'TM-21 Projection'!L14)</f>
        <v>328.15</v>
      </c>
      <c r="N23" s="73"/>
      <c r="O23" s="50"/>
    </row>
    <row r="24" s="47" customFormat="1" ht="19.5" spans="1:15">
      <c r="A24" s="49"/>
      <c r="B24" s="73"/>
      <c r="C24" s="92"/>
      <c r="D24" s="92"/>
      <c r="E24" s="93"/>
      <c r="F24" s="92"/>
      <c r="G24" s="94"/>
      <c r="H24" s="93"/>
      <c r="I24" s="92"/>
      <c r="J24" s="94"/>
      <c r="K24" s="73"/>
      <c r="L24" s="125" t="s">
        <v>86</v>
      </c>
      <c r="M24" s="126">
        <f>IF(OR(M13&lt;0,M17&lt;0),"-",IF('TM-21 Projection'!L15="","-",'TM-21 Projection'!L15))</f>
        <v>1.51203693346858e-6</v>
      </c>
      <c r="N24" s="73"/>
      <c r="O24" s="50"/>
    </row>
    <row r="25" s="47" customFormat="1" ht="28.5" customHeight="1" spans="1:15">
      <c r="A25" s="49"/>
      <c r="B25" s="73"/>
      <c r="C25" s="95" t="str">
        <f>IF(OR(M13&lt;0,M17&lt;0),"One or more of the tests resulted in negative L70 values. Please refer to sections 5.2.5 and 6.4 of IES TM-21-11 for instructions on how to estimate the reported lumen maintenance life (L70).","")</f>
        <v/>
      </c>
      <c r="D25" s="95"/>
      <c r="E25" s="95"/>
      <c r="F25" s="95"/>
      <c r="G25" s="95"/>
      <c r="H25" s="95"/>
      <c r="I25" s="95"/>
      <c r="J25" s="95"/>
      <c r="K25" s="73"/>
      <c r="L25" s="127" t="str">
        <f>IF(OR('TM-21 Inputs'!I19="",'TM-21 Inputs'!I34=""),"Projected L70(Dk) (hours)",CONCATENATE("Projected L70(",ROUND('TM-21 Inputs'!I19/1000,0),"k) at ",'TM-21 Inputs'!I34,"⁰C (hours)"))</f>
        <v>Projected L70(12k) at 55⁰C (hours)</v>
      </c>
      <c r="M25" s="128">
        <f>IF('TM-21 Inputs'!I42="","-",ROUND('TM-21 Inputs'!I42,-3))</f>
        <v>57000</v>
      </c>
      <c r="N25" s="73"/>
      <c r="O25" s="50"/>
    </row>
    <row r="26" ht="30.75" customHeight="1" spans="1:15">
      <c r="A26" s="49"/>
      <c r="B26" s="52"/>
      <c r="C26" s="52"/>
      <c r="D26" s="52"/>
      <c r="E26" s="52"/>
      <c r="F26" s="52"/>
      <c r="G26" s="52"/>
      <c r="H26" s="52"/>
      <c r="I26" s="52"/>
      <c r="J26" s="52"/>
      <c r="K26" s="52"/>
      <c r="L26" s="129" t="str">
        <f>IF(OR('TM-21 Inputs'!I19="",'TM-21 Inputs'!I34=""),"Reported L70(Dk) (hours)",CONCATENATE("Reported L70(",ROUND('TM-21 Inputs'!I19/1000,0),"k) at ",'TM-21 Inputs'!I34,"⁰C (hours)"))</f>
        <v>Reported L70(12k) at 55⁰C (hours)</v>
      </c>
      <c r="M26" s="130">
        <f>IF('TM-21 Inputs'!I43="","-",'TM-21 Inputs'!I43)</f>
        <v>57000</v>
      </c>
      <c r="N26" s="52"/>
      <c r="O26" s="50"/>
    </row>
    <row r="27" ht="9" customHeight="1" spans="1:15">
      <c r="A27" s="49"/>
      <c r="B27" s="52"/>
      <c r="C27" s="52"/>
      <c r="D27" s="52"/>
      <c r="E27" s="52"/>
      <c r="F27" s="52"/>
      <c r="G27" s="52"/>
      <c r="H27" s="52"/>
      <c r="I27" s="52"/>
      <c r="J27" s="52"/>
      <c r="K27" s="52"/>
      <c r="L27" s="52"/>
      <c r="M27" s="52"/>
      <c r="N27" s="52"/>
      <c r="O27" s="50"/>
    </row>
    <row r="28" ht="11.25" customHeight="1" spans="1:15">
      <c r="A28" s="49"/>
      <c r="B28" s="49"/>
      <c r="C28" s="49"/>
      <c r="D28" s="49"/>
      <c r="E28" s="49"/>
      <c r="F28" s="49"/>
      <c r="G28" s="49"/>
      <c r="H28" s="49"/>
      <c r="I28" s="49"/>
      <c r="J28" s="49"/>
      <c r="K28" s="49"/>
      <c r="L28" s="49"/>
      <c r="M28" s="49"/>
      <c r="N28" s="49"/>
      <c r="O28" s="49"/>
    </row>
    <row r="29" ht="14.25" spans="3:3">
      <c r="C29" s="96"/>
    </row>
    <row r="30" ht="30.75" customHeight="1" spans="4:13">
      <c r="D30" s="97"/>
      <c r="F30" s="98" t="s">
        <v>87</v>
      </c>
      <c r="G30" s="99"/>
      <c r="H30" s="100"/>
      <c r="I30" s="131"/>
      <c r="J30" s="132" t="s">
        <v>88</v>
      </c>
      <c r="K30" s="133"/>
      <c r="L30" s="133"/>
      <c r="M30" s="134"/>
    </row>
    <row r="31" ht="31.5" customHeight="1" spans="6:13">
      <c r="F31" s="98" t="s">
        <v>89</v>
      </c>
      <c r="G31" s="99"/>
      <c r="H31" s="100"/>
      <c r="I31" s="131"/>
      <c r="J31" s="135"/>
      <c r="K31" s="136"/>
      <c r="L31" s="136"/>
      <c r="M31" s="137"/>
    </row>
    <row r="32" ht="15" spans="6:13">
      <c r="F32" s="101" t="s">
        <v>90</v>
      </c>
      <c r="G32" s="102"/>
      <c r="H32" s="100"/>
      <c r="I32" s="131"/>
      <c r="J32" s="138"/>
      <c r="K32" s="139"/>
      <c r="L32" s="139"/>
      <c r="M32" s="140"/>
    </row>
  </sheetData>
  <sheetProtection password="C696" sheet="1" objects="1" scenarios="1"/>
  <mergeCells count="14">
    <mergeCell ref="C9:J9"/>
    <mergeCell ref="L9:M9"/>
    <mergeCell ref="L10:M10"/>
    <mergeCell ref="C13:D13"/>
    <mergeCell ref="F13:G13"/>
    <mergeCell ref="I13:J13"/>
    <mergeCell ref="C25:J25"/>
    <mergeCell ref="F30:I30"/>
    <mergeCell ref="F31:I31"/>
    <mergeCell ref="F32:I32"/>
    <mergeCell ref="J30:M32"/>
    <mergeCell ref="B2:N6"/>
    <mergeCell ref="C10:E12"/>
    <mergeCell ref="F10:J12"/>
  </mergeCells>
  <pageMargins left="0.7" right="0.7" top="0.75" bottom="0.75" header="0.3" footer="0.3"/>
  <pageSetup paperSize="1" scale="65" orientation="landscape" horizontalDpi="300" verticalDpi="300"/>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FFC000"/>
  </sheetPr>
  <dimension ref="A1"/>
  <sheetViews>
    <sheetView workbookViewId="0">
      <selection activeCell="M34" sqref="M34"/>
    </sheetView>
  </sheetViews>
  <sheetFormatPr defaultColWidth="9" defaultRowHeight="13.5"/>
  <sheetData/>
  <sheetProtection password="C696" sheet="1" objects="1" scenarios="1"/>
  <pageMargins left="0.7" right="0.7" top="0.75" bottom="0.75" header="0.3" footer="0.3"/>
  <pageSetup paperSize="1"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FFC000"/>
  </sheetPr>
  <dimension ref="D3:M34"/>
  <sheetViews>
    <sheetView topLeftCell="B2" workbookViewId="0">
      <selection activeCell="E17" sqref="E17"/>
    </sheetView>
  </sheetViews>
  <sheetFormatPr defaultColWidth="9.10833333333333" defaultRowHeight="13.5"/>
  <cols>
    <col min="1" max="1" width="17" style="1" customWidth="1"/>
    <col min="2" max="3" width="9.10833333333333" style="1"/>
    <col min="4" max="4" width="6.44166666666667" style="1" customWidth="1"/>
    <col min="5" max="5" width="12.8833333333333" style="1" customWidth="1"/>
    <col min="6" max="6" width="17.8833333333333" style="1" customWidth="1"/>
    <col min="7" max="7" width="27.4416666666667" style="1" customWidth="1"/>
    <col min="8" max="8" width="12.4416666666667" style="1" customWidth="1"/>
    <col min="9" max="9" width="11.1083333333333" style="1" customWidth="1"/>
    <col min="10" max="11" width="9.10833333333333" style="1"/>
    <col min="12" max="12" width="20.4416666666667" style="1" customWidth="1"/>
    <col min="13" max="16384" width="9.10833333333333" style="1"/>
  </cols>
  <sheetData>
    <row r="3" ht="14.25"/>
    <row r="4" ht="15" customHeight="1" spans="4:10">
      <c r="D4" s="2" t="str">
        <f>IF('TM-21 Inputs'!I21="","Insert Case Temperature 1",CONCATENATE("Test Data for ",'TM-21 Inputs'!I21,"⁰C Case Temperature"))</f>
        <v>Test Data for 55⁰C Case Temperature</v>
      </c>
      <c r="E4" s="3"/>
      <c r="F4" s="3"/>
      <c r="G4" s="3"/>
      <c r="H4" s="3"/>
      <c r="I4" s="3"/>
      <c r="J4" s="27"/>
    </row>
    <row r="5" ht="60" customHeight="1" spans="4:10">
      <c r="D5" s="4" t="s">
        <v>91</v>
      </c>
      <c r="E5" s="5" t="s">
        <v>92</v>
      </c>
      <c r="F5" s="6" t="s">
        <v>93</v>
      </c>
      <c r="G5" s="6" t="s">
        <v>94</v>
      </c>
      <c r="H5" s="6" t="s">
        <v>95</v>
      </c>
      <c r="I5" s="6" t="s">
        <v>96</v>
      </c>
      <c r="J5" s="37" t="s">
        <v>97</v>
      </c>
    </row>
    <row r="6" spans="4:13">
      <c r="D6" s="7" t="str">
        <f>IF(E6="","",'TM-21 Inputs'!#REF!)</f>
        <v/>
      </c>
      <c r="E6" s="13" t="str">
        <f>IF(OR('TM-21 Inputs'!$I$19="",'TM-21 Inputs'!$I$21=""),"-",IF(OR('TM-21 Inputs'!K10="",'TM-21 Inputs'!L10=""),"",IF(OR(AND('TM-21 Inputs'!$I$19&gt;=6000,'TM-21 Inputs'!$I$19&lt;=10000,'TM-21 Inputs'!K10&gt;='TM-21 Inputs'!$I$19-5000),AND('TM-21 Inputs'!$I$19&gt;10000,OR('TM-21 Inputs'!K10&gt;=0.5*'TM-21 Inputs'!$I$19,'TM-21 Inputs'!K10=SMALL('TM-21 Inputs'!$K$10:$K$29,COUNTIF('TM-21 Inputs'!$K$10:$K$29,"&lt;"&amp;(0.5*'TM-21 Inputs'!$I$19)+1))))),'TM-21 Inputs'!K10,"")))</f>
        <v/>
      </c>
      <c r="F6" s="9" t="str">
        <f>IF(E6="","",'TM-21 Inputs'!L10)</f>
        <v/>
      </c>
      <c r="G6" s="10" t="str">
        <f>IF(F6="","",LN(F6))</f>
        <v/>
      </c>
      <c r="H6" s="11" t="str">
        <f>IF(E6="","",(G6*E6))</f>
        <v/>
      </c>
      <c r="I6" s="38" t="str">
        <f>IF(E6="","",E6^2)</f>
        <v/>
      </c>
      <c r="J6" s="39" t="str">
        <f>IF(E6="","",E6*G6)</f>
        <v/>
      </c>
      <c r="M6" s="46"/>
    </row>
    <row r="7" spans="4:10">
      <c r="D7" s="12" t="str">
        <f>IF(E7="","",'TM-21 Inputs'!#REF!)</f>
        <v/>
      </c>
      <c r="E7" s="13" t="str">
        <f>IF(OR('TM-21 Inputs'!$I$19="",'TM-21 Inputs'!$I$21=""),"-",IF(OR('TM-21 Inputs'!K11="",'TM-21 Inputs'!L11=""),"",IF(OR(AND('TM-21 Inputs'!$I$19&gt;=6000,'TM-21 Inputs'!$I$19&lt;=10000,'TM-21 Inputs'!K11&gt;='TM-21 Inputs'!$I$19-5000),AND('TM-21 Inputs'!$I$19&gt;10000,OR('TM-21 Inputs'!K11&gt;=0.5*'TM-21 Inputs'!$I$19,'TM-21 Inputs'!K11=SMALL('TM-21 Inputs'!$K$10:$K$29,COUNTIF('TM-21 Inputs'!$K$10:$K$29,"&lt;"&amp;(0.5*'TM-21 Inputs'!$I$19)+1))))),'TM-21 Inputs'!K11,"")))</f>
        <v/>
      </c>
      <c r="F7" s="14" t="str">
        <f>IF(E7="","",'TM-21 Inputs'!L11)</f>
        <v/>
      </c>
      <c r="G7" s="15" t="str">
        <f t="shared" ref="G7:G25" si="0">IF(F7="","",LN(F7))</f>
        <v/>
      </c>
      <c r="H7" s="16" t="str">
        <f t="shared" ref="H7:H25" si="1">IF(E7="","",(G7*E7))</f>
        <v/>
      </c>
      <c r="I7" s="40" t="str">
        <f t="shared" ref="I7:I25" si="2">IF(E7="","",E7^2)</f>
        <v/>
      </c>
      <c r="J7" s="41" t="str">
        <f t="shared" ref="J7:J25" si="3">IF(E7="","",E7*G7)</f>
        <v/>
      </c>
    </row>
    <row r="8" spans="4:10">
      <c r="D8" s="12" t="str">
        <f>IF(E8="","",'TM-21 Inputs'!#REF!)</f>
        <v/>
      </c>
      <c r="E8" s="13" t="str">
        <f>IF(OR('TM-21 Inputs'!$I$19="",'TM-21 Inputs'!$I$21=""),"-",IF(OR('TM-21 Inputs'!K12="",'TM-21 Inputs'!L12=""),"",IF(OR(AND('TM-21 Inputs'!$I$19&gt;=6000,'TM-21 Inputs'!$I$19&lt;=10000,'TM-21 Inputs'!K12&gt;='TM-21 Inputs'!$I$19-5000),AND('TM-21 Inputs'!$I$19&gt;10000,OR('TM-21 Inputs'!K12&gt;=0.5*'TM-21 Inputs'!$I$19,'TM-21 Inputs'!K12=SMALL('TM-21 Inputs'!$K$10:$K$29,COUNTIF('TM-21 Inputs'!$K$10:$K$29,"&lt;"&amp;(0.5*'TM-21 Inputs'!$I$19)+1))))),'TM-21 Inputs'!K12,"")))</f>
        <v/>
      </c>
      <c r="F8" s="14" t="str">
        <f>IF(E8="","",'TM-21 Inputs'!L12)</f>
        <v/>
      </c>
      <c r="G8" s="15" t="str">
        <f t="shared" si="0"/>
        <v/>
      </c>
      <c r="H8" s="16" t="str">
        <f t="shared" si="1"/>
        <v/>
      </c>
      <c r="I8" s="40" t="str">
        <f t="shared" si="2"/>
        <v/>
      </c>
      <c r="J8" s="41" t="str">
        <f t="shared" si="3"/>
        <v/>
      </c>
    </row>
    <row r="9" spans="4:10">
      <c r="D9" s="12" t="str">
        <f>IF(E9="","",'TM-21 Inputs'!#REF!)</f>
        <v/>
      </c>
      <c r="E9" s="13" t="str">
        <f>IF(OR('TM-21 Inputs'!$I$19="",'TM-21 Inputs'!$I$21=""),"-",IF(OR('TM-21 Inputs'!K13="",'TM-21 Inputs'!L13=""),"",IF(OR(AND('TM-21 Inputs'!$I$19&gt;=6000,'TM-21 Inputs'!$I$19&lt;=10000,'TM-21 Inputs'!K13&gt;='TM-21 Inputs'!$I$19-5000),AND('TM-21 Inputs'!$I$19&gt;10000,OR('TM-21 Inputs'!K13&gt;=0.5*'TM-21 Inputs'!$I$19,'TM-21 Inputs'!K13=SMALL('TM-21 Inputs'!$K$10:$K$29,COUNTIF('TM-21 Inputs'!$K$10:$K$29,"&lt;"&amp;(0.5*'TM-21 Inputs'!$I$19)+1))))),'TM-21 Inputs'!K13,"")))</f>
        <v/>
      </c>
      <c r="F9" s="14" t="str">
        <f>IF(E9="","",'TM-21 Inputs'!L13)</f>
        <v/>
      </c>
      <c r="G9" s="15" t="str">
        <f t="shared" si="0"/>
        <v/>
      </c>
      <c r="H9" s="16" t="str">
        <f t="shared" si="1"/>
        <v/>
      </c>
      <c r="I9" s="40" t="str">
        <f t="shared" si="2"/>
        <v/>
      </c>
      <c r="J9" s="41" t="str">
        <f t="shared" si="3"/>
        <v/>
      </c>
    </row>
    <row r="10" spans="4:10">
      <c r="D10" s="12" t="str">
        <f>IF(E10="","",'TM-21 Inputs'!#REF!)</f>
        <v/>
      </c>
      <c r="E10" s="13" t="str">
        <f>IF(OR('TM-21 Inputs'!$I$19="",'TM-21 Inputs'!$I$21=""),"-",IF(OR('TM-21 Inputs'!K14="",'TM-21 Inputs'!L14=""),"",IF(OR(AND('TM-21 Inputs'!$I$19&gt;=6000,'TM-21 Inputs'!$I$19&lt;=10000,'TM-21 Inputs'!K14&gt;='TM-21 Inputs'!$I$19-5000),AND('TM-21 Inputs'!$I$19&gt;10000,OR('TM-21 Inputs'!K14&gt;=0.5*'TM-21 Inputs'!$I$19,'TM-21 Inputs'!K14=SMALL('TM-21 Inputs'!$K$10:$K$29,COUNTIF('TM-21 Inputs'!$K$10:$K$29,"&lt;"&amp;(0.5*'TM-21 Inputs'!$I$19)+1))))),'TM-21 Inputs'!K14,"")))</f>
        <v/>
      </c>
      <c r="F10" s="14" t="str">
        <f>IF(E10="","",'TM-21 Inputs'!L14)</f>
        <v/>
      </c>
      <c r="G10" s="15" t="str">
        <f t="shared" si="0"/>
        <v/>
      </c>
      <c r="H10" s="16" t="str">
        <f t="shared" si="1"/>
        <v/>
      </c>
      <c r="I10" s="40" t="str">
        <f t="shared" si="2"/>
        <v/>
      </c>
      <c r="J10" s="41" t="str">
        <f t="shared" si="3"/>
        <v/>
      </c>
    </row>
    <row r="11" spans="4:10">
      <c r="D11" s="12" t="str">
        <f>IF(E11="","",'TM-21 Inputs'!#REF!)</f>
        <v/>
      </c>
      <c r="E11" s="13" t="str">
        <f>IF(OR('TM-21 Inputs'!$I$19="",'TM-21 Inputs'!$I$21=""),"-",IF(OR('TM-21 Inputs'!K15="",'TM-21 Inputs'!L15=""),"",IF(OR(AND('TM-21 Inputs'!$I$19&gt;=6000,'TM-21 Inputs'!$I$19&lt;=10000,'TM-21 Inputs'!K15&gt;='TM-21 Inputs'!$I$19-5000),AND('TM-21 Inputs'!$I$19&gt;10000,OR('TM-21 Inputs'!K15&gt;=0.5*'TM-21 Inputs'!$I$19,'TM-21 Inputs'!K15=SMALL('TM-21 Inputs'!$K$10:$K$29,COUNTIF('TM-21 Inputs'!$K$10:$K$29,"&lt;"&amp;(0.5*'TM-21 Inputs'!$I$19)+1))))),'TM-21 Inputs'!K15,"")))</f>
        <v/>
      </c>
      <c r="F11" s="14" t="str">
        <f>IF(E11="","",'TM-21 Inputs'!L15)</f>
        <v/>
      </c>
      <c r="G11" s="15" t="str">
        <f t="shared" si="0"/>
        <v/>
      </c>
      <c r="H11" s="16" t="str">
        <f t="shared" si="1"/>
        <v/>
      </c>
      <c r="I11" s="40" t="str">
        <f t="shared" si="2"/>
        <v/>
      </c>
      <c r="J11" s="41" t="str">
        <f t="shared" si="3"/>
        <v/>
      </c>
    </row>
    <row r="12" spans="4:10">
      <c r="D12" s="12" t="e">
        <f>IF(E12="","",'TM-21 Inputs'!#REF!)</f>
        <v>#REF!</v>
      </c>
      <c r="E12" s="13">
        <f>IF(OR('TM-21 Inputs'!$I$19="",'TM-21 Inputs'!$I$21=""),"-",IF(OR('TM-21 Inputs'!K16="",'TM-21 Inputs'!L16=""),"",IF(OR(AND('TM-21 Inputs'!$I$19&gt;=6000,'TM-21 Inputs'!$I$19&lt;=10000,'TM-21 Inputs'!K16&gt;='TM-21 Inputs'!$I$19-5000),AND('TM-21 Inputs'!$I$19&gt;10000,OR('TM-21 Inputs'!K16&gt;=0.5*'TM-21 Inputs'!$I$19,'TM-21 Inputs'!K16=SMALL('TM-21 Inputs'!$K$10:$K$29,COUNTIF('TM-21 Inputs'!$K$10:$K$29,"&lt;"&amp;(0.5*'TM-21 Inputs'!$I$19)+1))))),'TM-21 Inputs'!K16,"")))</f>
        <v>6000</v>
      </c>
      <c r="F12" s="14">
        <f>IF(E12="","",'TM-21 Inputs'!L16)</f>
        <v>0.974</v>
      </c>
      <c r="G12" s="15">
        <f t="shared" si="0"/>
        <v>-0.0263439753396019</v>
      </c>
      <c r="H12" s="16">
        <f t="shared" si="1"/>
        <v>-158.063852037611</v>
      </c>
      <c r="I12" s="40">
        <f t="shared" si="2"/>
        <v>36000000</v>
      </c>
      <c r="J12" s="41">
        <f t="shared" si="3"/>
        <v>-158.063852037611</v>
      </c>
    </row>
    <row r="13" spans="4:10">
      <c r="D13" s="12" t="e">
        <f>IF(E13="","",'TM-21 Inputs'!#REF!)</f>
        <v>#REF!</v>
      </c>
      <c r="E13" s="13">
        <f>IF(OR('TM-21 Inputs'!$I$19="",'TM-21 Inputs'!$I$21=""),"-",IF(OR('TM-21 Inputs'!K17="",'TM-21 Inputs'!L17=""),"",IF(OR(AND('TM-21 Inputs'!$I$19&gt;=6000,'TM-21 Inputs'!$I$19&lt;=10000,'TM-21 Inputs'!K17&gt;='TM-21 Inputs'!$I$19-5000),AND('TM-21 Inputs'!$I$19&gt;10000,OR('TM-21 Inputs'!K17&gt;=0.5*'TM-21 Inputs'!$I$19,'TM-21 Inputs'!K17=SMALL('TM-21 Inputs'!$K$10:$K$29,COUNTIF('TM-21 Inputs'!$K$10:$K$29,"&lt;"&amp;(0.5*'TM-21 Inputs'!$I$19)+1))))),'TM-21 Inputs'!K17,"")))</f>
        <v>7000</v>
      </c>
      <c r="F13" s="14">
        <f>IF(E13="","",'TM-21 Inputs'!L17)</f>
        <v>0.969</v>
      </c>
      <c r="G13" s="15">
        <f t="shared" si="0"/>
        <v>-0.0314906670913707</v>
      </c>
      <c r="H13" s="16">
        <f t="shared" si="1"/>
        <v>-220.434669639595</v>
      </c>
      <c r="I13" s="40">
        <f t="shared" si="2"/>
        <v>49000000</v>
      </c>
      <c r="J13" s="41">
        <f t="shared" si="3"/>
        <v>-220.434669639595</v>
      </c>
    </row>
    <row r="14" spans="4:10">
      <c r="D14" s="12" t="e">
        <f>IF(E14="","",'TM-21 Inputs'!#REF!)</f>
        <v>#REF!</v>
      </c>
      <c r="E14" s="13">
        <f>IF(OR('TM-21 Inputs'!$I$19="",'TM-21 Inputs'!$I$21=""),"-",IF(OR('TM-21 Inputs'!K18="",'TM-21 Inputs'!L18=""),"",IF(OR(AND('TM-21 Inputs'!$I$19&gt;=6000,'TM-21 Inputs'!$I$19&lt;=10000,'TM-21 Inputs'!K18&gt;='TM-21 Inputs'!$I$19-5000),AND('TM-21 Inputs'!$I$19&gt;10000,OR('TM-21 Inputs'!K18&gt;=0.5*'TM-21 Inputs'!$I$19,'TM-21 Inputs'!K18=SMALL('TM-21 Inputs'!$K$10:$K$29,COUNTIF('TM-21 Inputs'!$K$10:$K$29,"&lt;"&amp;(0.5*'TM-21 Inputs'!$I$19)+1))))),'TM-21 Inputs'!K18,"")))</f>
        <v>8000</v>
      </c>
      <c r="F14" s="14">
        <f>IF(E14="","",'TM-21 Inputs'!L18)</f>
        <v>0.968</v>
      </c>
      <c r="G14" s="15">
        <f t="shared" si="0"/>
        <v>-0.0325231917055601</v>
      </c>
      <c r="H14" s="16">
        <f t="shared" si="1"/>
        <v>-260.18553364448</v>
      </c>
      <c r="I14" s="40">
        <f t="shared" si="2"/>
        <v>64000000</v>
      </c>
      <c r="J14" s="41">
        <f t="shared" si="3"/>
        <v>-260.18553364448</v>
      </c>
    </row>
    <row r="15" spans="4:10">
      <c r="D15" s="12" t="e">
        <f>IF(E15="","",'TM-21 Inputs'!#REF!)</f>
        <v>#REF!</v>
      </c>
      <c r="E15" s="13">
        <f>IF(OR('TM-21 Inputs'!$I$19="",'TM-21 Inputs'!$I$21=""),"-",IF(OR('TM-21 Inputs'!K19="",'TM-21 Inputs'!L19=""),"",IF(OR(AND('TM-21 Inputs'!$I$19&gt;=6000,'TM-21 Inputs'!$I$19&lt;=10000,'TM-21 Inputs'!K19&gt;='TM-21 Inputs'!$I$19-5000),AND('TM-21 Inputs'!$I$19&gt;10000,OR('TM-21 Inputs'!K19&gt;=0.5*'TM-21 Inputs'!$I$19,'TM-21 Inputs'!K19=SMALL('TM-21 Inputs'!$K$10:$K$29,COUNTIF('TM-21 Inputs'!$K$10:$K$29,"&lt;"&amp;(0.5*'TM-21 Inputs'!$I$19)+1))))),'TM-21 Inputs'!K19,"")))</f>
        <v>9000</v>
      </c>
      <c r="F15" s="14">
        <f>IF(E15="","",'TM-21 Inputs'!L19)</f>
        <v>0.966</v>
      </c>
      <c r="G15" s="15">
        <f t="shared" si="0"/>
        <v>-0.0345914447696191</v>
      </c>
      <c r="H15" s="16">
        <f t="shared" si="1"/>
        <v>-311.323002926572</v>
      </c>
      <c r="I15" s="40">
        <f t="shared" si="2"/>
        <v>81000000</v>
      </c>
      <c r="J15" s="41">
        <f t="shared" si="3"/>
        <v>-311.323002926572</v>
      </c>
    </row>
    <row r="16" spans="4:10">
      <c r="D16" s="12" t="e">
        <f>IF(E16="","",'TM-21 Inputs'!#REF!)</f>
        <v>#REF!</v>
      </c>
      <c r="E16" s="13">
        <f>IF(OR('TM-21 Inputs'!$I$19="",'TM-21 Inputs'!$I$21=""),"-",IF(OR('TM-21 Inputs'!K20="",'TM-21 Inputs'!L20=""),"",IF(OR(AND('TM-21 Inputs'!$I$19&gt;=6000,'TM-21 Inputs'!$I$19&lt;=10000,'TM-21 Inputs'!K20&gt;='TM-21 Inputs'!$I$19-5000),AND('TM-21 Inputs'!$I$19&gt;10000,OR('TM-21 Inputs'!K20&gt;=0.5*'TM-21 Inputs'!$I$19,'TM-21 Inputs'!K20=SMALL('TM-21 Inputs'!$K$10:$K$29,COUNTIF('TM-21 Inputs'!$K$10:$K$29,"&lt;"&amp;(0.5*'TM-21 Inputs'!$I$19)+1))))),'TM-21 Inputs'!K20,"")))</f>
        <v>10000</v>
      </c>
      <c r="F16" s="14">
        <f>IF(E16="","",'TM-21 Inputs'!L20)</f>
        <v>0.965</v>
      </c>
      <c r="G16" s="15">
        <f t="shared" si="0"/>
        <v>-0.0356271776431512</v>
      </c>
      <c r="H16" s="16">
        <f t="shared" si="1"/>
        <v>-356.271776431512</v>
      </c>
      <c r="I16" s="40">
        <f t="shared" si="2"/>
        <v>100000000</v>
      </c>
      <c r="J16" s="41">
        <f t="shared" si="3"/>
        <v>-356.271776431512</v>
      </c>
    </row>
    <row r="17" spans="4:10">
      <c r="D17" s="12" t="e">
        <f>IF(E17="","",'TM-21 Inputs'!#REF!)</f>
        <v>#REF!</v>
      </c>
      <c r="E17" s="13">
        <f>IF(OR('TM-21 Inputs'!$I$19="",'TM-21 Inputs'!$I$21=""),"-",IF(OR('TM-21 Inputs'!K21="",'TM-21 Inputs'!L21=""),"",IF(OR(AND('TM-21 Inputs'!$I$19&gt;=6000,'TM-21 Inputs'!$I$19&lt;=10000,'TM-21 Inputs'!K21&gt;='TM-21 Inputs'!$I$19-5000),AND('TM-21 Inputs'!$I$19&gt;10000,OR('TM-21 Inputs'!K21&gt;=0.5*'TM-21 Inputs'!$I$19,'TM-21 Inputs'!K21=SMALL('TM-21 Inputs'!$K$10:$K$29,COUNTIF('TM-21 Inputs'!$K$10:$K$29,"&lt;"&amp;(0.5*'TM-21 Inputs'!$I$19)+1))))),'TM-21 Inputs'!K21,"")))</f>
        <v>11000</v>
      </c>
      <c r="F17" s="14">
        <f>IF(E17="","",'TM-21 Inputs'!L21)</f>
        <v>0.965</v>
      </c>
      <c r="G17" s="15">
        <f t="shared" si="0"/>
        <v>-0.0356271776431512</v>
      </c>
      <c r="H17" s="16">
        <f t="shared" si="1"/>
        <v>-391.898954074663</v>
      </c>
      <c r="I17" s="40">
        <f t="shared" si="2"/>
        <v>121000000</v>
      </c>
      <c r="J17" s="41">
        <f t="shared" si="3"/>
        <v>-391.898954074663</v>
      </c>
    </row>
    <row r="18" spans="4:10">
      <c r="D18" s="12" t="e">
        <f>IF(E18="","",'TM-21 Inputs'!#REF!)</f>
        <v>#REF!</v>
      </c>
      <c r="E18" s="13">
        <f>IF(OR('TM-21 Inputs'!$I$19="",'TM-21 Inputs'!$I$21=""),"-",IF(OR('TM-21 Inputs'!K22="",'TM-21 Inputs'!L22=""),"",IF(OR(AND('TM-21 Inputs'!$I$19&gt;=6000,'TM-21 Inputs'!$I$19&lt;=10000,'TM-21 Inputs'!K22&gt;='TM-21 Inputs'!$I$19-5000),AND('TM-21 Inputs'!$I$19&gt;10000,OR('TM-21 Inputs'!K22&gt;=0.5*'TM-21 Inputs'!$I$19,'TM-21 Inputs'!K22=SMALL('TM-21 Inputs'!$K$10:$K$29,COUNTIF('TM-21 Inputs'!$K$10:$K$29,"&lt;"&amp;(0.5*'TM-21 Inputs'!$I$19)+1))))),'TM-21 Inputs'!K22,"")))</f>
        <v>12000</v>
      </c>
      <c r="F18" s="14">
        <f>IF(E18="","",'TM-21 Inputs'!L22)</f>
        <v>0.964</v>
      </c>
      <c r="G18" s="15">
        <f t="shared" si="0"/>
        <v>-0.0366639843715914</v>
      </c>
      <c r="H18" s="16">
        <f t="shared" si="1"/>
        <v>-439.967812459096</v>
      </c>
      <c r="I18" s="40">
        <f t="shared" si="2"/>
        <v>144000000</v>
      </c>
      <c r="J18" s="41">
        <f t="shared" si="3"/>
        <v>-439.967812459096</v>
      </c>
    </row>
    <row r="19" spans="4:10">
      <c r="D19" s="12" t="str">
        <f>IF(E19="","",'TM-21 Inputs'!#REF!)</f>
        <v/>
      </c>
      <c r="E19" s="13" t="str">
        <f>IF(OR('TM-21 Inputs'!$I$19="",'TM-21 Inputs'!$I$21=""),"-",IF(OR('TM-21 Inputs'!K23="",'TM-21 Inputs'!L23=""),"",IF(OR(AND('TM-21 Inputs'!$I$19&gt;=6000,'TM-21 Inputs'!$I$19&lt;=10000,'TM-21 Inputs'!K23&gt;='TM-21 Inputs'!$I$19-5000),AND('TM-21 Inputs'!$I$19&gt;10000,OR('TM-21 Inputs'!K23&gt;=0.5*'TM-21 Inputs'!$I$19,'TM-21 Inputs'!K23=SMALL('TM-21 Inputs'!$K$10:$K$29,COUNTIF('TM-21 Inputs'!$K$10:$K$29,"&lt;"&amp;(0.5*'TM-21 Inputs'!$I$19)+1))))),'TM-21 Inputs'!K23,"")))</f>
        <v/>
      </c>
      <c r="F19" s="14" t="str">
        <f>IF(E19="","",'TM-21 Inputs'!L23)</f>
        <v/>
      </c>
      <c r="G19" s="15" t="str">
        <f t="shared" si="0"/>
        <v/>
      </c>
      <c r="H19" s="16" t="str">
        <f t="shared" si="1"/>
        <v/>
      </c>
      <c r="I19" s="40" t="str">
        <f t="shared" si="2"/>
        <v/>
      </c>
      <c r="J19" s="41" t="str">
        <f t="shared" si="3"/>
        <v/>
      </c>
    </row>
    <row r="20" spans="4:10">
      <c r="D20" s="12" t="str">
        <f>IF(E20="","",'TM-21 Inputs'!#REF!)</f>
        <v/>
      </c>
      <c r="E20" s="13" t="str">
        <f>IF(OR('TM-21 Inputs'!$I$19="",'TM-21 Inputs'!$I$21=""),"-",IF(OR('TM-21 Inputs'!K24="",'TM-21 Inputs'!L24=""),"",IF(OR(AND('TM-21 Inputs'!$I$19&gt;=6000,'TM-21 Inputs'!$I$19&lt;=10000,'TM-21 Inputs'!K24&gt;='TM-21 Inputs'!$I$19-5000),AND('TM-21 Inputs'!$I$19&gt;10000,OR('TM-21 Inputs'!K24&gt;=0.5*'TM-21 Inputs'!$I$19,'TM-21 Inputs'!K24=SMALL('TM-21 Inputs'!$K$10:$K$29,COUNTIF('TM-21 Inputs'!$K$10:$K$29,"&lt;"&amp;(0.5*'TM-21 Inputs'!$I$19)+1))))),'TM-21 Inputs'!K24,"")))</f>
        <v/>
      </c>
      <c r="F20" s="14" t="str">
        <f>IF(E20="","",'TM-21 Inputs'!L24)</f>
        <v/>
      </c>
      <c r="G20" s="15" t="str">
        <f t="shared" si="0"/>
        <v/>
      </c>
      <c r="H20" s="16" t="str">
        <f t="shared" si="1"/>
        <v/>
      </c>
      <c r="I20" s="40" t="str">
        <f t="shared" si="2"/>
        <v/>
      </c>
      <c r="J20" s="41" t="str">
        <f t="shared" si="3"/>
        <v/>
      </c>
    </row>
    <row r="21" spans="4:10">
      <c r="D21" s="12" t="str">
        <f>IF(E21="","",'TM-21 Inputs'!#REF!)</f>
        <v/>
      </c>
      <c r="E21" s="13" t="str">
        <f>IF(OR('TM-21 Inputs'!$I$19="",'TM-21 Inputs'!$I$21=""),"-",IF(OR('TM-21 Inputs'!K25="",'TM-21 Inputs'!L25=""),"",IF(OR(AND('TM-21 Inputs'!$I$19&gt;=6000,'TM-21 Inputs'!$I$19&lt;=10000,'TM-21 Inputs'!K25&gt;='TM-21 Inputs'!$I$19-5000),AND('TM-21 Inputs'!$I$19&gt;10000,OR('TM-21 Inputs'!K25&gt;=0.5*'TM-21 Inputs'!$I$19,'TM-21 Inputs'!K25=SMALL('TM-21 Inputs'!$K$10:$K$29,COUNTIF('TM-21 Inputs'!$K$10:$K$29,"&lt;"&amp;(0.5*'TM-21 Inputs'!$I$19)+1))))),'TM-21 Inputs'!K25,"")))</f>
        <v/>
      </c>
      <c r="F21" s="14" t="str">
        <f>IF(E21="","",'TM-21 Inputs'!L25)</f>
        <v/>
      </c>
      <c r="G21" s="15" t="str">
        <f t="shared" si="0"/>
        <v/>
      </c>
      <c r="H21" s="16" t="str">
        <f t="shared" si="1"/>
        <v/>
      </c>
      <c r="I21" s="40" t="str">
        <f t="shared" si="2"/>
        <v/>
      </c>
      <c r="J21" s="41" t="str">
        <f t="shared" si="3"/>
        <v/>
      </c>
    </row>
    <row r="22" spans="4:10">
      <c r="D22" s="12" t="str">
        <f>IF(E22="","",'TM-21 Inputs'!#REF!)</f>
        <v/>
      </c>
      <c r="E22" s="13" t="str">
        <f>IF(OR('TM-21 Inputs'!$I$19="",'TM-21 Inputs'!$I$21=""),"-",IF(OR('TM-21 Inputs'!K26="",'TM-21 Inputs'!L26=""),"",IF(OR(AND('TM-21 Inputs'!$I$19&gt;=6000,'TM-21 Inputs'!$I$19&lt;=10000,'TM-21 Inputs'!K26&gt;='TM-21 Inputs'!$I$19-5000),AND('TM-21 Inputs'!$I$19&gt;10000,OR('TM-21 Inputs'!K26&gt;=0.5*'TM-21 Inputs'!$I$19,'TM-21 Inputs'!K26=SMALL('TM-21 Inputs'!$K$10:$K$29,COUNTIF('TM-21 Inputs'!$K$10:$K$29,"&lt;"&amp;(0.5*'TM-21 Inputs'!$I$19)+1))))),'TM-21 Inputs'!K26,"")))</f>
        <v/>
      </c>
      <c r="F22" s="14" t="str">
        <f>IF(E22="","",'TM-21 Inputs'!L26)</f>
        <v/>
      </c>
      <c r="G22" s="15" t="str">
        <f t="shared" si="0"/>
        <v/>
      </c>
      <c r="H22" s="16" t="str">
        <f t="shared" si="1"/>
        <v/>
      </c>
      <c r="I22" s="40" t="str">
        <f t="shared" si="2"/>
        <v/>
      </c>
      <c r="J22" s="41" t="str">
        <f t="shared" si="3"/>
        <v/>
      </c>
    </row>
    <row r="23" spans="4:10">
      <c r="D23" s="12" t="str">
        <f>IF(E23="","",'TM-21 Inputs'!#REF!)</f>
        <v/>
      </c>
      <c r="E23" s="13" t="str">
        <f>IF(OR('TM-21 Inputs'!$I$19="",'TM-21 Inputs'!$I$21=""),"-",IF(OR('TM-21 Inputs'!K27="",'TM-21 Inputs'!L27=""),"",IF(OR(AND('TM-21 Inputs'!$I$19&gt;=6000,'TM-21 Inputs'!$I$19&lt;=10000,'TM-21 Inputs'!K27&gt;='TM-21 Inputs'!$I$19-5000),AND('TM-21 Inputs'!$I$19&gt;10000,OR('TM-21 Inputs'!K27&gt;=0.5*'TM-21 Inputs'!$I$19,'TM-21 Inputs'!K27=SMALL('TM-21 Inputs'!$K$10:$K$29,COUNTIF('TM-21 Inputs'!$K$10:$K$29,"&lt;"&amp;(0.5*'TM-21 Inputs'!$I$19)+1))))),'TM-21 Inputs'!K27,"")))</f>
        <v/>
      </c>
      <c r="F23" s="14" t="str">
        <f>IF(E23="","",'TM-21 Inputs'!L27)</f>
        <v/>
      </c>
      <c r="G23" s="15" t="str">
        <f t="shared" si="0"/>
        <v/>
      </c>
      <c r="H23" s="16" t="str">
        <f t="shared" si="1"/>
        <v/>
      </c>
      <c r="I23" s="40" t="str">
        <f t="shared" si="2"/>
        <v/>
      </c>
      <c r="J23" s="41" t="str">
        <f t="shared" si="3"/>
        <v/>
      </c>
    </row>
    <row r="24" spans="4:10">
      <c r="D24" s="12" t="str">
        <f>IF(E24="","",'TM-21 Inputs'!#REF!)</f>
        <v/>
      </c>
      <c r="E24" s="13" t="str">
        <f>IF(OR('TM-21 Inputs'!$I$19="",'TM-21 Inputs'!$I$21=""),"-",IF(OR('TM-21 Inputs'!K28="",'TM-21 Inputs'!L28=""),"",IF(OR(AND('TM-21 Inputs'!$I$19&gt;=6000,'TM-21 Inputs'!$I$19&lt;=10000,'TM-21 Inputs'!K28&gt;='TM-21 Inputs'!$I$19-5000),AND('TM-21 Inputs'!$I$19&gt;10000,OR('TM-21 Inputs'!K28&gt;=0.5*'TM-21 Inputs'!$I$19,'TM-21 Inputs'!K28=SMALL('TM-21 Inputs'!$K$10:$K$29,COUNTIF('TM-21 Inputs'!$K$10:$K$29,"&lt;"&amp;(0.5*'TM-21 Inputs'!$I$19)+1))))),'TM-21 Inputs'!K28,"")))</f>
        <v/>
      </c>
      <c r="F24" s="14" t="str">
        <f>IF(E24="","",'TM-21 Inputs'!L28)</f>
        <v/>
      </c>
      <c r="G24" s="15" t="str">
        <f t="shared" si="0"/>
        <v/>
      </c>
      <c r="H24" s="16" t="str">
        <f t="shared" si="1"/>
        <v/>
      </c>
      <c r="I24" s="40" t="str">
        <f t="shared" si="2"/>
        <v/>
      </c>
      <c r="J24" s="41" t="str">
        <f t="shared" si="3"/>
        <v/>
      </c>
    </row>
    <row r="25" spans="4:10">
      <c r="D25" s="17" t="str">
        <f>IF(E25="","",'TM-21 Inputs'!#REF!)</f>
        <v/>
      </c>
      <c r="E25" s="18" t="str">
        <f>IF(OR('TM-21 Inputs'!$I$19="",'TM-21 Inputs'!$I$21=""),"-",IF(OR('TM-21 Inputs'!K29="",'TM-21 Inputs'!L29=""),"",IF(OR(AND('TM-21 Inputs'!$I$19&gt;=6000,'TM-21 Inputs'!$I$19&lt;=10000,'TM-21 Inputs'!K29&gt;='TM-21 Inputs'!$I$19-5000),AND('TM-21 Inputs'!$I$19&gt;10000,OR('TM-21 Inputs'!K29&gt;=0.5*'TM-21 Inputs'!$I$19,'TM-21 Inputs'!K29=SMALL('TM-21 Inputs'!$K$10:$K$29,COUNTIF('TM-21 Inputs'!$K$10:$K$29,"&lt;"&amp;(0.5*'TM-21 Inputs'!$I$19)+1))))),'TM-21 Inputs'!K29,"")))</f>
        <v/>
      </c>
      <c r="F25" s="19" t="str">
        <f>IF(E25="","",'TM-21 Inputs'!L29)</f>
        <v/>
      </c>
      <c r="G25" s="20" t="str">
        <f t="shared" si="0"/>
        <v/>
      </c>
      <c r="H25" s="21" t="str">
        <f t="shared" si="1"/>
        <v/>
      </c>
      <c r="I25" s="42" t="str">
        <f t="shared" si="2"/>
        <v/>
      </c>
      <c r="J25" s="43" t="str">
        <f t="shared" si="3"/>
        <v/>
      </c>
    </row>
    <row r="26" ht="14.25" spans="4:10">
      <c r="D26" s="22" t="s">
        <v>98</v>
      </c>
      <c r="E26" s="23">
        <f t="shared" ref="E26:J26" si="4">SUM(E6:E25)</f>
        <v>63000</v>
      </c>
      <c r="F26" s="24">
        <f t="shared" si="4"/>
        <v>6.771</v>
      </c>
      <c r="G26" s="25">
        <f t="shared" si="4"/>
        <v>-0.232867618564045</v>
      </c>
      <c r="H26" s="26">
        <f t="shared" si="4"/>
        <v>-2138.14560121353</v>
      </c>
      <c r="I26" s="44">
        <f t="shared" si="4"/>
        <v>595000000</v>
      </c>
      <c r="J26" s="45">
        <f t="shared" si="4"/>
        <v>-2138.14560121353</v>
      </c>
    </row>
    <row r="27" ht="14.25"/>
    <row r="28" ht="14.25" spans="5:6">
      <c r="E28" s="2" t="s">
        <v>22</v>
      </c>
      <c r="F28" s="27"/>
    </row>
    <row r="29" spans="5:6">
      <c r="E29" s="28" t="s">
        <v>99</v>
      </c>
      <c r="F29" s="29">
        <f>((COUNTIF(E6:E25,"&gt;"&amp;0)*H26-(E26*G26))/((COUNTIF(E6:E25,"&gt;"&amp;0)*I26)-(E26^2)))</f>
        <v>-1.51203693346858e-6</v>
      </c>
    </row>
    <row r="30" spans="5:6">
      <c r="E30" s="30" t="s">
        <v>100</v>
      </c>
      <c r="F30" s="31">
        <f>(G26-(F29*E26))/COUNTIF(E6:E25,"&gt;"&amp;0)</f>
        <v>-0.0196584702507893</v>
      </c>
    </row>
    <row r="31" ht="15" spans="5:6">
      <c r="E31" s="32" t="s">
        <v>58</v>
      </c>
      <c r="F31" s="31">
        <f>-F29</f>
        <v>1.51203693346858e-6</v>
      </c>
    </row>
    <row r="32" spans="5:6">
      <c r="E32" s="30" t="s">
        <v>59</v>
      </c>
      <c r="F32" s="31">
        <f>EXP(F30)</f>
        <v>0.980533497486781</v>
      </c>
    </row>
    <row r="33" ht="30" customHeight="1" spans="5:6">
      <c r="E33" s="33" t="str">
        <f>CONCATENATE("Calculated L",'TM-21 Inputs'!I35," (hrs):")</f>
        <v>Calculated L90 (hrs):</v>
      </c>
      <c r="F33" s="34">
        <f>ROUND((LN(F32/('TM-21 Inputs'!$I$35/100))/F31),-3)</f>
        <v>57000</v>
      </c>
    </row>
    <row r="34" ht="27.75" spans="5:6">
      <c r="E34" s="35" t="str">
        <f>CONCATENATE("Reported L",'TM-21 Inputs'!I35," (hrs):")</f>
        <v>Reported L90 (hrs):</v>
      </c>
      <c r="F34" s="36">
        <f>IF(OR(AND('TM-21 Inputs'!$I$18&gt;=20,$F$33&lt;6*'TM-21 Inputs'!$I$19),AND('TM-21 Inputs'!$I$18&gt;=10,'TM-21 Inputs'!$I$18&lt;=19,$F$33&lt;5.5*'TM-21 Inputs'!$I$19)),ROUND(F33,-3),IF('TM-21 Inputs'!$I$18&gt;=20,CONCATENATE("&gt;",ROUND((6*'TM-21 Inputs'!$I$19),-3)),IF(AND('TM-21 Inputs'!$I$18&gt;=10,'TM-21 Inputs'!$I$18&lt;=19),CONCATENATE("&gt;",ROUND((5.5*'TM-21 Inputs'!$I$19),-3)),"error")))</f>
        <v>57000</v>
      </c>
    </row>
  </sheetData>
  <sheetProtection password="C696" sheet="1" objects="1" scenarios="1"/>
  <mergeCells count="2">
    <mergeCell ref="D4:J4"/>
    <mergeCell ref="E28:F28"/>
  </mergeCells>
  <pageMargins left="0.7" right="0.7" top="0.75" bottom="0.75" header="0.3" footer="0.3"/>
  <pageSetup paperSize="1" orientation="portrait"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FFC000"/>
  </sheetPr>
  <dimension ref="D3:J34"/>
  <sheetViews>
    <sheetView workbookViewId="0">
      <selection activeCell="G24" sqref="G24"/>
    </sheetView>
  </sheetViews>
  <sheetFormatPr defaultColWidth="9.10833333333333" defaultRowHeight="13.5"/>
  <cols>
    <col min="1" max="1" width="17" style="1" customWidth="1"/>
    <col min="2" max="3" width="9.10833333333333" style="1"/>
    <col min="4" max="4" width="6.44166666666667" style="1" customWidth="1"/>
    <col min="5" max="5" width="12.8833333333333" style="1" customWidth="1"/>
    <col min="6" max="6" width="17.8833333333333" style="1" customWidth="1"/>
    <col min="7" max="7" width="27.4416666666667" style="1" customWidth="1"/>
    <col min="8" max="8" width="12.4416666666667" style="1" customWidth="1"/>
    <col min="9" max="9" width="11.1083333333333" style="1" customWidth="1"/>
    <col min="10" max="16384" width="9.10833333333333" style="1"/>
  </cols>
  <sheetData>
    <row r="3" ht="14.25"/>
    <row r="4" ht="15" customHeight="1" spans="4:10">
      <c r="D4" s="2" t="str">
        <f>IF('TM-21 Inputs'!I22="","Insert Case Temperature 2",CONCATENATE("Test Data for ",'TM-21 Inputs'!I22,"⁰C Case Temperature"))</f>
        <v>Test Data for 85⁰C Case Temperature</v>
      </c>
      <c r="E4" s="3"/>
      <c r="F4" s="3"/>
      <c r="G4" s="3"/>
      <c r="H4" s="3"/>
      <c r="I4" s="3"/>
      <c r="J4" s="27"/>
    </row>
    <row r="5" ht="60" customHeight="1" spans="4:10">
      <c r="D5" s="4" t="s">
        <v>91</v>
      </c>
      <c r="E5" s="5" t="s">
        <v>92</v>
      </c>
      <c r="F5" s="6" t="s">
        <v>93</v>
      </c>
      <c r="G5" s="6" t="s">
        <v>94</v>
      </c>
      <c r="H5" s="6" t="s">
        <v>95</v>
      </c>
      <c r="I5" s="6" t="s">
        <v>96</v>
      </c>
      <c r="J5" s="37" t="s">
        <v>97</v>
      </c>
    </row>
    <row r="6" spans="4:10">
      <c r="D6" s="7" t="str">
        <f>IF(E6="","",'TM-21 Inputs'!#REF!)</f>
        <v/>
      </c>
      <c r="E6" s="8" t="str">
        <f>IF(OR('TM-21 Inputs'!$I$19="",'TM-21 Inputs'!$I$21=""),"-",IF(OR('TM-21 Inputs'!N10="",'TM-21 Inputs'!L10=""),"",IF(OR(AND('TM-21 Inputs'!$I$19&gt;=6000,'TM-21 Inputs'!$I$19&lt;=10000,'TM-21 Inputs'!N10&gt;='TM-21 Inputs'!$I$19-5000),AND('TM-21 Inputs'!$I$19&gt;10000,OR('TM-21 Inputs'!N10&gt;=0.5*'TM-21 Inputs'!$I$19,'TM-21 Inputs'!N10=SMALL('TM-21 Inputs'!$N$10:$N$29,COUNTIF('TM-21 Inputs'!$N$10:$N$29,"&lt;"&amp;(0.5*'TM-21 Inputs'!$I$19)+1))))),'TM-21 Inputs'!N10,"")))</f>
        <v/>
      </c>
      <c r="F6" s="9" t="str">
        <f>IF(E6="","",'TM-21 Inputs'!O10)</f>
        <v/>
      </c>
      <c r="G6" s="10" t="str">
        <f>IF(E6="","",LN(F6))</f>
        <v/>
      </c>
      <c r="H6" s="11" t="str">
        <f>IF(E6="","",(G6*E6))</f>
        <v/>
      </c>
      <c r="I6" s="38" t="str">
        <f>IF(E6="","",E6^2)</f>
        <v/>
      </c>
      <c r="J6" s="39" t="str">
        <f>IF(E6="","",E6*G6)</f>
        <v/>
      </c>
    </row>
    <row r="7" spans="4:10">
      <c r="D7" s="12" t="str">
        <f>IF(E7="","",'TM-21 Inputs'!#REF!)</f>
        <v/>
      </c>
      <c r="E7" s="13" t="str">
        <f>IF(OR('TM-21 Inputs'!$I$19="",'TM-21 Inputs'!$I$21=""),"-",IF(OR('TM-21 Inputs'!N11="",'TM-21 Inputs'!L11=""),"",IF(OR(AND('TM-21 Inputs'!$I$19&gt;=6000,'TM-21 Inputs'!$I$19&lt;=10000,'TM-21 Inputs'!N11&gt;='TM-21 Inputs'!$I$19-5000),AND('TM-21 Inputs'!$I$19&gt;10000,OR('TM-21 Inputs'!N11&gt;=0.5*'TM-21 Inputs'!$I$19,'TM-21 Inputs'!N11=SMALL('TM-21 Inputs'!$N$10:$N$29,COUNTIF('TM-21 Inputs'!$N$10:$N$29,"&lt;"&amp;(0.5*'TM-21 Inputs'!$I$19)+1))))),'TM-21 Inputs'!N11,"")))</f>
        <v/>
      </c>
      <c r="F7" s="14" t="str">
        <f>IF(E7="","",'TM-21 Inputs'!O11)</f>
        <v/>
      </c>
      <c r="G7" s="15" t="str">
        <f t="shared" ref="G7:G25" si="0">IF(E7="","",LN(F7))</f>
        <v/>
      </c>
      <c r="H7" s="16" t="str">
        <f t="shared" ref="H7:H25" si="1">IF(E7="","",(G7*E7))</f>
        <v/>
      </c>
      <c r="I7" s="40" t="str">
        <f t="shared" ref="I7:I25" si="2">IF(E7="","",E7^2)</f>
        <v/>
      </c>
      <c r="J7" s="41" t="str">
        <f t="shared" ref="J7:J25" si="3">IF(E7="","",E7*G7)</f>
        <v/>
      </c>
    </row>
    <row r="8" spans="4:10">
      <c r="D8" s="12" t="str">
        <f>IF(E8="","",'TM-21 Inputs'!#REF!)</f>
        <v/>
      </c>
      <c r="E8" s="13" t="str">
        <f>IF(OR('TM-21 Inputs'!$I$19="",'TM-21 Inputs'!$I$21=""),"-",IF(OR('TM-21 Inputs'!N12="",'TM-21 Inputs'!L12=""),"",IF(OR(AND('TM-21 Inputs'!$I$19&gt;=6000,'TM-21 Inputs'!$I$19&lt;=10000,'TM-21 Inputs'!N12&gt;='TM-21 Inputs'!$I$19-5000),AND('TM-21 Inputs'!$I$19&gt;10000,OR('TM-21 Inputs'!N12&gt;=0.5*'TM-21 Inputs'!$I$19,'TM-21 Inputs'!N12=SMALL('TM-21 Inputs'!$N$10:$N$29,COUNTIF('TM-21 Inputs'!$N$10:$N$29,"&lt;"&amp;(0.5*'TM-21 Inputs'!$I$19)+1))))),'TM-21 Inputs'!N12,"")))</f>
        <v/>
      </c>
      <c r="F8" s="14" t="str">
        <f>IF(E8="","",'TM-21 Inputs'!O12)</f>
        <v/>
      </c>
      <c r="G8" s="15" t="str">
        <f t="shared" si="0"/>
        <v/>
      </c>
      <c r="H8" s="16" t="str">
        <f t="shared" si="1"/>
        <v/>
      </c>
      <c r="I8" s="40" t="str">
        <f t="shared" si="2"/>
        <v/>
      </c>
      <c r="J8" s="41" t="str">
        <f t="shared" si="3"/>
        <v/>
      </c>
    </row>
    <row r="9" spans="4:10">
      <c r="D9" s="12" t="str">
        <f>IF(E9="","",'TM-21 Inputs'!#REF!)</f>
        <v/>
      </c>
      <c r="E9" s="13" t="str">
        <f>IF(OR('TM-21 Inputs'!$I$19="",'TM-21 Inputs'!$I$21=""),"-",IF(OR('TM-21 Inputs'!N13="",'TM-21 Inputs'!L13=""),"",IF(OR(AND('TM-21 Inputs'!$I$19&gt;=6000,'TM-21 Inputs'!$I$19&lt;=10000,'TM-21 Inputs'!N13&gt;='TM-21 Inputs'!$I$19-5000),AND('TM-21 Inputs'!$I$19&gt;10000,OR('TM-21 Inputs'!N13&gt;=0.5*'TM-21 Inputs'!$I$19,'TM-21 Inputs'!N13=SMALL('TM-21 Inputs'!$N$10:$N$29,COUNTIF('TM-21 Inputs'!$N$10:$N$29,"&lt;"&amp;(0.5*'TM-21 Inputs'!$I$19)+1))))),'TM-21 Inputs'!N13,"")))</f>
        <v/>
      </c>
      <c r="F9" s="14" t="str">
        <f>IF(E9="","",'TM-21 Inputs'!O13)</f>
        <v/>
      </c>
      <c r="G9" s="15" t="str">
        <f t="shared" si="0"/>
        <v/>
      </c>
      <c r="H9" s="16" t="str">
        <f t="shared" si="1"/>
        <v/>
      </c>
      <c r="I9" s="40" t="str">
        <f t="shared" si="2"/>
        <v/>
      </c>
      <c r="J9" s="41" t="str">
        <f t="shared" si="3"/>
        <v/>
      </c>
    </row>
    <row r="10" spans="4:10">
      <c r="D10" s="12" t="str">
        <f>IF(E10="","",'TM-21 Inputs'!#REF!)</f>
        <v/>
      </c>
      <c r="E10" s="13" t="str">
        <f>IF(OR('TM-21 Inputs'!$I$19="",'TM-21 Inputs'!$I$21=""),"-",IF(OR('TM-21 Inputs'!N14="",'TM-21 Inputs'!L14=""),"",IF(OR(AND('TM-21 Inputs'!$I$19&gt;=6000,'TM-21 Inputs'!$I$19&lt;=10000,'TM-21 Inputs'!N14&gt;='TM-21 Inputs'!$I$19-5000),AND('TM-21 Inputs'!$I$19&gt;10000,OR('TM-21 Inputs'!N14&gt;=0.5*'TM-21 Inputs'!$I$19,'TM-21 Inputs'!N14=SMALL('TM-21 Inputs'!$N$10:$N$29,COUNTIF('TM-21 Inputs'!$N$10:$N$29,"&lt;"&amp;(0.5*'TM-21 Inputs'!$I$19)+1))))),'TM-21 Inputs'!N14,"")))</f>
        <v/>
      </c>
      <c r="F10" s="14" t="str">
        <f>IF(E10="","",'TM-21 Inputs'!O14)</f>
        <v/>
      </c>
      <c r="G10" s="15" t="str">
        <f t="shared" si="0"/>
        <v/>
      </c>
      <c r="H10" s="16" t="str">
        <f t="shared" si="1"/>
        <v/>
      </c>
      <c r="I10" s="40" t="str">
        <f t="shared" si="2"/>
        <v/>
      </c>
      <c r="J10" s="41" t="str">
        <f t="shared" si="3"/>
        <v/>
      </c>
    </row>
    <row r="11" spans="4:10">
      <c r="D11" s="12" t="str">
        <f>IF(E11="","",'TM-21 Inputs'!#REF!)</f>
        <v/>
      </c>
      <c r="E11" s="13" t="str">
        <f>IF(OR('TM-21 Inputs'!$I$19="",'TM-21 Inputs'!$I$21=""),"-",IF(OR('TM-21 Inputs'!N15="",'TM-21 Inputs'!L15=""),"",IF(OR(AND('TM-21 Inputs'!$I$19&gt;=6000,'TM-21 Inputs'!$I$19&lt;=10000,'TM-21 Inputs'!N15&gt;='TM-21 Inputs'!$I$19-5000),AND('TM-21 Inputs'!$I$19&gt;10000,OR('TM-21 Inputs'!N15&gt;=0.5*'TM-21 Inputs'!$I$19,'TM-21 Inputs'!N15=SMALL('TM-21 Inputs'!$N$10:$N$29,COUNTIF('TM-21 Inputs'!$N$10:$N$29,"&lt;"&amp;(0.5*'TM-21 Inputs'!$I$19)+1))))),'TM-21 Inputs'!N15,"")))</f>
        <v/>
      </c>
      <c r="F11" s="14" t="str">
        <f>IF(E11="","",'TM-21 Inputs'!O15)</f>
        <v/>
      </c>
      <c r="G11" s="15" t="str">
        <f t="shared" si="0"/>
        <v/>
      </c>
      <c r="H11" s="16" t="str">
        <f t="shared" si="1"/>
        <v/>
      </c>
      <c r="I11" s="40" t="str">
        <f t="shared" si="2"/>
        <v/>
      </c>
      <c r="J11" s="41" t="str">
        <f t="shared" si="3"/>
        <v/>
      </c>
    </row>
    <row r="12" spans="4:10">
      <c r="D12" s="12" t="e">
        <f>IF(E12="","",'TM-21 Inputs'!#REF!)</f>
        <v>#REF!</v>
      </c>
      <c r="E12" s="13">
        <f>IF(OR('TM-21 Inputs'!$I$19="",'TM-21 Inputs'!$I$21=""),"-",IF(OR('TM-21 Inputs'!N16="",'TM-21 Inputs'!L16=""),"",IF(OR(AND('TM-21 Inputs'!$I$19&gt;=6000,'TM-21 Inputs'!$I$19&lt;=10000,'TM-21 Inputs'!N16&gt;='TM-21 Inputs'!$I$19-5000),AND('TM-21 Inputs'!$I$19&gt;10000,OR('TM-21 Inputs'!N16&gt;=0.5*'TM-21 Inputs'!$I$19,'TM-21 Inputs'!N16=SMALL('TM-21 Inputs'!$N$10:$N$29,COUNTIF('TM-21 Inputs'!$N$10:$N$29,"&lt;"&amp;(0.5*'TM-21 Inputs'!$I$19)+1))))),'TM-21 Inputs'!N16,"")))</f>
        <v>6000</v>
      </c>
      <c r="F12" s="14">
        <f>IF(E12="","",'TM-21 Inputs'!O16)</f>
        <v>0.973</v>
      </c>
      <c r="G12" s="15">
        <f t="shared" si="0"/>
        <v>-0.027371196796132</v>
      </c>
      <c r="H12" s="16">
        <f t="shared" si="1"/>
        <v>-164.227180776792</v>
      </c>
      <c r="I12" s="40">
        <f t="shared" si="2"/>
        <v>36000000</v>
      </c>
      <c r="J12" s="41">
        <f t="shared" si="3"/>
        <v>-164.227180776792</v>
      </c>
    </row>
    <row r="13" spans="4:10">
      <c r="D13" s="12" t="e">
        <f>IF(E13="","",'TM-21 Inputs'!#REF!)</f>
        <v>#REF!</v>
      </c>
      <c r="E13" s="13">
        <f>IF(OR('TM-21 Inputs'!$I$19="",'TM-21 Inputs'!$I$21=""),"-",IF(OR('TM-21 Inputs'!N17="",'TM-21 Inputs'!L17=""),"",IF(OR(AND('TM-21 Inputs'!$I$19&gt;=6000,'TM-21 Inputs'!$I$19&lt;=10000,'TM-21 Inputs'!N17&gt;='TM-21 Inputs'!$I$19-5000),AND('TM-21 Inputs'!$I$19&gt;10000,OR('TM-21 Inputs'!N17&gt;=0.5*'TM-21 Inputs'!$I$19,'TM-21 Inputs'!N17=SMALL('TM-21 Inputs'!$N$10:$N$29,COUNTIF('TM-21 Inputs'!$N$10:$N$29,"&lt;"&amp;(0.5*'TM-21 Inputs'!$I$19)+1))))),'TM-21 Inputs'!N17,"")))</f>
        <v>7000</v>
      </c>
      <c r="F13" s="14">
        <f>IF(E13="","",'TM-21 Inputs'!O17)</f>
        <v>0.964</v>
      </c>
      <c r="G13" s="15">
        <f t="shared" si="0"/>
        <v>-0.0366639843715914</v>
      </c>
      <c r="H13" s="16">
        <f t="shared" si="1"/>
        <v>-256.64789060114</v>
      </c>
      <c r="I13" s="40">
        <f t="shared" si="2"/>
        <v>49000000</v>
      </c>
      <c r="J13" s="41">
        <f t="shared" si="3"/>
        <v>-256.64789060114</v>
      </c>
    </row>
    <row r="14" spans="4:10">
      <c r="D14" s="12" t="e">
        <f>IF(E14="","",'TM-21 Inputs'!#REF!)</f>
        <v>#REF!</v>
      </c>
      <c r="E14" s="13">
        <f>IF(OR('TM-21 Inputs'!$I$19="",'TM-21 Inputs'!$I$21=""),"-",IF(OR('TM-21 Inputs'!N18="",'TM-21 Inputs'!L18=""),"",IF(OR(AND('TM-21 Inputs'!$I$19&gt;=6000,'TM-21 Inputs'!$I$19&lt;=10000,'TM-21 Inputs'!N18&gt;='TM-21 Inputs'!$I$19-5000),AND('TM-21 Inputs'!$I$19&gt;10000,OR('TM-21 Inputs'!N18&gt;=0.5*'TM-21 Inputs'!$I$19,'TM-21 Inputs'!N18=SMALL('TM-21 Inputs'!$N$10:$N$29,COUNTIF('TM-21 Inputs'!$N$10:$N$29,"&lt;"&amp;(0.5*'TM-21 Inputs'!$I$19)+1))))),'TM-21 Inputs'!N18,"")))</f>
        <v>8000</v>
      </c>
      <c r="F14" s="14">
        <f>IF(E14="","",'TM-21 Inputs'!O18)</f>
        <v>0.96</v>
      </c>
      <c r="G14" s="15">
        <f t="shared" si="0"/>
        <v>-0.0408219945202552</v>
      </c>
      <c r="H14" s="16">
        <f t="shared" si="1"/>
        <v>-326.575956162041</v>
      </c>
      <c r="I14" s="40">
        <f t="shared" si="2"/>
        <v>64000000</v>
      </c>
      <c r="J14" s="41">
        <f t="shared" si="3"/>
        <v>-326.575956162041</v>
      </c>
    </row>
    <row r="15" spans="4:10">
      <c r="D15" s="12" t="e">
        <f>IF(E15="","",'TM-21 Inputs'!#REF!)</f>
        <v>#REF!</v>
      </c>
      <c r="E15" s="13">
        <f>IF(OR('TM-21 Inputs'!$I$19="",'TM-21 Inputs'!$I$21=""),"-",IF(OR('TM-21 Inputs'!N19="",'TM-21 Inputs'!L19=""),"",IF(OR(AND('TM-21 Inputs'!$I$19&gt;=6000,'TM-21 Inputs'!$I$19&lt;=10000,'TM-21 Inputs'!N19&gt;='TM-21 Inputs'!$I$19-5000),AND('TM-21 Inputs'!$I$19&gt;10000,OR('TM-21 Inputs'!N19&gt;=0.5*'TM-21 Inputs'!$I$19,'TM-21 Inputs'!N19=SMALL('TM-21 Inputs'!$N$10:$N$29,COUNTIF('TM-21 Inputs'!$N$10:$N$29,"&lt;"&amp;(0.5*'TM-21 Inputs'!$I$19)+1))))),'TM-21 Inputs'!N19,"")))</f>
        <v>9000</v>
      </c>
      <c r="F15" s="14">
        <f>IF(E15="","",'TM-21 Inputs'!O19)</f>
        <v>0.961</v>
      </c>
      <c r="G15" s="15">
        <f t="shared" si="0"/>
        <v>-0.0397808700118446</v>
      </c>
      <c r="H15" s="16">
        <f t="shared" si="1"/>
        <v>-358.027830106601</v>
      </c>
      <c r="I15" s="40">
        <f t="shared" si="2"/>
        <v>81000000</v>
      </c>
      <c r="J15" s="41">
        <f t="shared" si="3"/>
        <v>-358.027830106601</v>
      </c>
    </row>
    <row r="16" spans="4:10">
      <c r="D16" s="12" t="e">
        <f>IF(E16="","",'TM-21 Inputs'!#REF!)</f>
        <v>#REF!</v>
      </c>
      <c r="E16" s="13">
        <f>IF(OR('TM-21 Inputs'!$I$19="",'TM-21 Inputs'!$I$21=""),"-",IF(OR('TM-21 Inputs'!N20="",'TM-21 Inputs'!L20=""),"",IF(OR(AND('TM-21 Inputs'!$I$19&gt;=6000,'TM-21 Inputs'!$I$19&lt;=10000,'TM-21 Inputs'!N20&gt;='TM-21 Inputs'!$I$19-5000),AND('TM-21 Inputs'!$I$19&gt;10000,OR('TM-21 Inputs'!N20&gt;=0.5*'TM-21 Inputs'!$I$19,'TM-21 Inputs'!N20=SMALL('TM-21 Inputs'!$N$10:$N$29,COUNTIF('TM-21 Inputs'!$N$10:$N$29,"&lt;"&amp;(0.5*'TM-21 Inputs'!$I$19)+1))))),'TM-21 Inputs'!N20,"")))</f>
        <v>10000</v>
      </c>
      <c r="F16" s="14">
        <f>IF(E16="","",'TM-21 Inputs'!O20)</f>
        <v>0.956</v>
      </c>
      <c r="G16" s="15">
        <f t="shared" si="0"/>
        <v>-0.0449973659307358</v>
      </c>
      <c r="H16" s="16">
        <f t="shared" si="1"/>
        <v>-449.973659307358</v>
      </c>
      <c r="I16" s="40">
        <f t="shared" si="2"/>
        <v>100000000</v>
      </c>
      <c r="J16" s="41">
        <f t="shared" si="3"/>
        <v>-449.973659307358</v>
      </c>
    </row>
    <row r="17" spans="4:10">
      <c r="D17" s="12" t="e">
        <f>IF(E17="","",'TM-21 Inputs'!#REF!)</f>
        <v>#REF!</v>
      </c>
      <c r="E17" s="13">
        <f>IF(OR('TM-21 Inputs'!$I$19="",'TM-21 Inputs'!$I$21=""),"-",IF(OR('TM-21 Inputs'!N21="",'TM-21 Inputs'!L21=""),"",IF(OR(AND('TM-21 Inputs'!$I$19&gt;=6000,'TM-21 Inputs'!$I$19&lt;=10000,'TM-21 Inputs'!N21&gt;='TM-21 Inputs'!$I$19-5000),AND('TM-21 Inputs'!$I$19&gt;10000,OR('TM-21 Inputs'!N21&gt;=0.5*'TM-21 Inputs'!$I$19,'TM-21 Inputs'!N21=SMALL('TM-21 Inputs'!$N$10:$N$29,COUNTIF('TM-21 Inputs'!$N$10:$N$29,"&lt;"&amp;(0.5*'TM-21 Inputs'!$I$19)+1))))),'TM-21 Inputs'!N21,"")))</f>
        <v>11000</v>
      </c>
      <c r="F17" s="14">
        <f>IF(E17="","",'TM-21 Inputs'!O21)</f>
        <v>0.953</v>
      </c>
      <c r="G17" s="15">
        <f t="shared" si="0"/>
        <v>-0.048140375327935</v>
      </c>
      <c r="H17" s="16">
        <f t="shared" si="1"/>
        <v>-529.544128607285</v>
      </c>
      <c r="I17" s="40">
        <f t="shared" si="2"/>
        <v>121000000</v>
      </c>
      <c r="J17" s="41">
        <f t="shared" si="3"/>
        <v>-529.544128607285</v>
      </c>
    </row>
    <row r="18" spans="4:10">
      <c r="D18" s="12" t="e">
        <f>IF(E18="","",'TM-21 Inputs'!#REF!)</f>
        <v>#REF!</v>
      </c>
      <c r="E18" s="13">
        <f>IF(OR('TM-21 Inputs'!$I$19="",'TM-21 Inputs'!$I$21=""),"-",IF(OR('TM-21 Inputs'!N22="",'TM-21 Inputs'!L22=""),"",IF(OR(AND('TM-21 Inputs'!$I$19&gt;=6000,'TM-21 Inputs'!$I$19&lt;=10000,'TM-21 Inputs'!N22&gt;='TM-21 Inputs'!$I$19-5000),AND('TM-21 Inputs'!$I$19&gt;10000,OR('TM-21 Inputs'!N22&gt;=0.5*'TM-21 Inputs'!$I$19,'TM-21 Inputs'!N22=SMALL('TM-21 Inputs'!$N$10:$N$29,COUNTIF('TM-21 Inputs'!$N$10:$N$29,"&lt;"&amp;(0.5*'TM-21 Inputs'!$I$19)+1))))),'TM-21 Inputs'!N22,"")))</f>
        <v>12000</v>
      </c>
      <c r="F18" s="14">
        <f>IF(E18="","",'TM-21 Inputs'!O22)</f>
        <v>0.95</v>
      </c>
      <c r="G18" s="15">
        <f t="shared" si="0"/>
        <v>-0.0512932943875506</v>
      </c>
      <c r="H18" s="16">
        <f t="shared" si="1"/>
        <v>-615.519532650607</v>
      </c>
      <c r="I18" s="40">
        <f t="shared" si="2"/>
        <v>144000000</v>
      </c>
      <c r="J18" s="41">
        <f t="shared" si="3"/>
        <v>-615.519532650607</v>
      </c>
    </row>
    <row r="19" spans="4:10">
      <c r="D19" s="12" t="str">
        <f>IF(E19="","",'TM-21 Inputs'!#REF!)</f>
        <v/>
      </c>
      <c r="E19" s="13" t="str">
        <f>IF(OR('TM-21 Inputs'!$I$19="",'TM-21 Inputs'!$I$21=""),"-",IF(OR('TM-21 Inputs'!N23="",'TM-21 Inputs'!L23=""),"",IF(OR(AND('TM-21 Inputs'!$I$19&gt;=6000,'TM-21 Inputs'!$I$19&lt;=10000,'TM-21 Inputs'!N23&gt;='TM-21 Inputs'!$I$19-5000),AND('TM-21 Inputs'!$I$19&gt;10000,OR('TM-21 Inputs'!N23&gt;=0.5*'TM-21 Inputs'!$I$19,'TM-21 Inputs'!N23=SMALL('TM-21 Inputs'!$N$10:$N$29,COUNTIF('TM-21 Inputs'!$N$10:$N$29,"&lt;"&amp;(0.5*'TM-21 Inputs'!$I$19)+1))))),'TM-21 Inputs'!N23,"")))</f>
        <v/>
      </c>
      <c r="F19" s="14" t="str">
        <f>IF(E19="","",'TM-21 Inputs'!O23)</f>
        <v/>
      </c>
      <c r="G19" s="15" t="str">
        <f t="shared" si="0"/>
        <v/>
      </c>
      <c r="H19" s="16" t="str">
        <f t="shared" si="1"/>
        <v/>
      </c>
      <c r="I19" s="40" t="str">
        <f t="shared" si="2"/>
        <v/>
      </c>
      <c r="J19" s="41" t="str">
        <f t="shared" si="3"/>
        <v/>
      </c>
    </row>
    <row r="20" spans="4:10">
      <c r="D20" s="12" t="str">
        <f>IF(E20="","",'TM-21 Inputs'!#REF!)</f>
        <v/>
      </c>
      <c r="E20" s="13" t="str">
        <f>IF(OR('TM-21 Inputs'!$I$19="",'TM-21 Inputs'!$I$21=""),"-",IF(OR('TM-21 Inputs'!N24="",'TM-21 Inputs'!L24=""),"",IF(OR(AND('TM-21 Inputs'!$I$19&gt;=6000,'TM-21 Inputs'!$I$19&lt;=10000,'TM-21 Inputs'!N24&gt;='TM-21 Inputs'!$I$19-5000),AND('TM-21 Inputs'!$I$19&gt;10000,OR('TM-21 Inputs'!N24&gt;=0.5*'TM-21 Inputs'!$I$19,'TM-21 Inputs'!N24=SMALL('TM-21 Inputs'!$N$10:$N$29,COUNTIF('TM-21 Inputs'!$N$10:$N$29,"&lt;"&amp;(0.5*'TM-21 Inputs'!$I$19)+1))))),'TM-21 Inputs'!N24,"")))</f>
        <v/>
      </c>
      <c r="F20" s="14" t="str">
        <f>IF(E20="","",'TM-21 Inputs'!O24)</f>
        <v/>
      </c>
      <c r="G20" s="15" t="str">
        <f t="shared" si="0"/>
        <v/>
      </c>
      <c r="H20" s="16" t="str">
        <f t="shared" si="1"/>
        <v/>
      </c>
      <c r="I20" s="40" t="str">
        <f t="shared" si="2"/>
        <v/>
      </c>
      <c r="J20" s="41" t="str">
        <f t="shared" si="3"/>
        <v/>
      </c>
    </row>
    <row r="21" spans="4:10">
      <c r="D21" s="12" t="str">
        <f>IF(E21="","",'TM-21 Inputs'!#REF!)</f>
        <v/>
      </c>
      <c r="E21" s="13" t="str">
        <f>IF(OR('TM-21 Inputs'!$I$19="",'TM-21 Inputs'!$I$21=""),"-",IF(OR('TM-21 Inputs'!N25="",'TM-21 Inputs'!L25=""),"",IF(OR(AND('TM-21 Inputs'!$I$19&gt;=6000,'TM-21 Inputs'!$I$19&lt;=10000,'TM-21 Inputs'!N25&gt;='TM-21 Inputs'!$I$19-5000),AND('TM-21 Inputs'!$I$19&gt;10000,OR('TM-21 Inputs'!N25&gt;=0.5*'TM-21 Inputs'!$I$19,'TM-21 Inputs'!N25=SMALL('TM-21 Inputs'!$N$10:$N$29,COUNTIF('TM-21 Inputs'!$N$10:$N$29,"&lt;"&amp;(0.5*'TM-21 Inputs'!$I$19)+1))))),'TM-21 Inputs'!N25,"")))</f>
        <v/>
      </c>
      <c r="F21" s="14" t="str">
        <f>IF(E21="","",'TM-21 Inputs'!O25)</f>
        <v/>
      </c>
      <c r="G21" s="15" t="str">
        <f t="shared" si="0"/>
        <v/>
      </c>
      <c r="H21" s="16" t="str">
        <f t="shared" si="1"/>
        <v/>
      </c>
      <c r="I21" s="40" t="str">
        <f t="shared" si="2"/>
        <v/>
      </c>
      <c r="J21" s="41" t="str">
        <f t="shared" si="3"/>
        <v/>
      </c>
    </row>
    <row r="22" spans="4:10">
      <c r="D22" s="12" t="str">
        <f>IF(E22="","",'TM-21 Inputs'!#REF!)</f>
        <v/>
      </c>
      <c r="E22" s="13" t="str">
        <f>IF(OR('TM-21 Inputs'!$I$19="",'TM-21 Inputs'!$I$21=""),"-",IF(OR('TM-21 Inputs'!N26="",'TM-21 Inputs'!L26=""),"",IF(OR(AND('TM-21 Inputs'!$I$19&gt;=6000,'TM-21 Inputs'!$I$19&lt;=10000,'TM-21 Inputs'!N26&gt;='TM-21 Inputs'!$I$19-5000),AND('TM-21 Inputs'!$I$19&gt;10000,OR('TM-21 Inputs'!N26&gt;=0.5*'TM-21 Inputs'!$I$19,'TM-21 Inputs'!N26=SMALL('TM-21 Inputs'!$N$10:$N$29,COUNTIF('TM-21 Inputs'!$N$10:$N$29,"&lt;"&amp;(0.5*'TM-21 Inputs'!$I$19)+1))))),'TM-21 Inputs'!N26,"")))</f>
        <v/>
      </c>
      <c r="F22" s="14" t="str">
        <f>IF(E22="","",'TM-21 Inputs'!O26)</f>
        <v/>
      </c>
      <c r="G22" s="15" t="str">
        <f t="shared" si="0"/>
        <v/>
      </c>
      <c r="H22" s="16" t="str">
        <f t="shared" si="1"/>
        <v/>
      </c>
      <c r="I22" s="40" t="str">
        <f t="shared" si="2"/>
        <v/>
      </c>
      <c r="J22" s="41" t="str">
        <f t="shared" si="3"/>
        <v/>
      </c>
    </row>
    <row r="23" spans="4:10">
      <c r="D23" s="12" t="str">
        <f>IF(E23="","",'TM-21 Inputs'!#REF!)</f>
        <v/>
      </c>
      <c r="E23" s="13" t="str">
        <f>IF(OR('TM-21 Inputs'!$I$19="",'TM-21 Inputs'!$I$21=""),"-",IF(OR('TM-21 Inputs'!N27="",'TM-21 Inputs'!L27=""),"",IF(OR(AND('TM-21 Inputs'!$I$19&gt;=6000,'TM-21 Inputs'!$I$19&lt;=10000,'TM-21 Inputs'!N27&gt;='TM-21 Inputs'!$I$19-5000),AND('TM-21 Inputs'!$I$19&gt;10000,OR('TM-21 Inputs'!N27&gt;=0.5*'TM-21 Inputs'!$I$19,'TM-21 Inputs'!N27=SMALL('TM-21 Inputs'!$N$10:$N$29,COUNTIF('TM-21 Inputs'!$N$10:$N$29,"&lt;"&amp;(0.5*'TM-21 Inputs'!$I$19)+1))))),'TM-21 Inputs'!N27,"")))</f>
        <v/>
      </c>
      <c r="F23" s="14" t="str">
        <f>IF(E23="","",'TM-21 Inputs'!O27)</f>
        <v/>
      </c>
      <c r="G23" s="15" t="str">
        <f t="shared" si="0"/>
        <v/>
      </c>
      <c r="H23" s="16" t="str">
        <f t="shared" si="1"/>
        <v/>
      </c>
      <c r="I23" s="40" t="str">
        <f t="shared" si="2"/>
        <v/>
      </c>
      <c r="J23" s="41" t="str">
        <f t="shared" si="3"/>
        <v/>
      </c>
    </row>
    <row r="24" spans="4:10">
      <c r="D24" s="12" t="str">
        <f>IF(E24="","",'TM-21 Inputs'!#REF!)</f>
        <v/>
      </c>
      <c r="E24" s="13" t="str">
        <f>IF(OR('TM-21 Inputs'!$I$19="",'TM-21 Inputs'!$I$21=""),"-",IF(OR('TM-21 Inputs'!N28="",'TM-21 Inputs'!L28=""),"",IF(OR(AND('TM-21 Inputs'!$I$19&gt;=6000,'TM-21 Inputs'!$I$19&lt;=10000,'TM-21 Inputs'!N28&gt;='TM-21 Inputs'!$I$19-5000),AND('TM-21 Inputs'!$I$19&gt;10000,OR('TM-21 Inputs'!N28&gt;=0.5*'TM-21 Inputs'!$I$19,'TM-21 Inputs'!N28=SMALL('TM-21 Inputs'!$N$10:$N$29,COUNTIF('TM-21 Inputs'!$N$10:$N$29,"&lt;"&amp;(0.5*'TM-21 Inputs'!$I$19)+1))))),'TM-21 Inputs'!N28,"")))</f>
        <v/>
      </c>
      <c r="F24" s="14" t="str">
        <f>IF(E24="","",'TM-21 Inputs'!O28)</f>
        <v/>
      </c>
      <c r="G24" s="15" t="str">
        <f t="shared" si="0"/>
        <v/>
      </c>
      <c r="H24" s="16" t="str">
        <f t="shared" si="1"/>
        <v/>
      </c>
      <c r="I24" s="40" t="str">
        <f t="shared" si="2"/>
        <v/>
      </c>
      <c r="J24" s="41" t="str">
        <f t="shared" si="3"/>
        <v/>
      </c>
    </row>
    <row r="25" spans="4:10">
      <c r="D25" s="17" t="str">
        <f>IF(E25="","",'TM-21 Inputs'!#REF!)</f>
        <v/>
      </c>
      <c r="E25" s="18" t="str">
        <f>IF(OR('TM-21 Inputs'!$I$19="",'TM-21 Inputs'!$I$21=""),"-",IF(OR('TM-21 Inputs'!N29="",'TM-21 Inputs'!L29=""),"",IF(OR(AND('TM-21 Inputs'!$I$19&gt;=6000,'TM-21 Inputs'!$I$19&lt;=10000,'TM-21 Inputs'!N29&gt;='TM-21 Inputs'!$I$19-5000),AND('TM-21 Inputs'!$I$19&gt;10000,OR('TM-21 Inputs'!N29&gt;=0.5*'TM-21 Inputs'!$I$19,'TM-21 Inputs'!N29=SMALL('TM-21 Inputs'!$N$10:$N$29,COUNTIF('TM-21 Inputs'!$N$10:$N$29,"&lt;"&amp;(0.5*'TM-21 Inputs'!$I$19)+1))))),'TM-21 Inputs'!N29,"")))</f>
        <v/>
      </c>
      <c r="F25" s="19" t="str">
        <f>IF(E25="","",'TM-21 Inputs'!O29)</f>
        <v/>
      </c>
      <c r="G25" s="20" t="str">
        <f t="shared" si="0"/>
        <v/>
      </c>
      <c r="H25" s="21" t="str">
        <f t="shared" si="1"/>
        <v/>
      </c>
      <c r="I25" s="42" t="str">
        <f t="shared" si="2"/>
        <v/>
      </c>
      <c r="J25" s="43" t="str">
        <f t="shared" si="3"/>
        <v/>
      </c>
    </row>
    <row r="26" ht="14.25" spans="4:10">
      <c r="D26" s="22" t="s">
        <v>98</v>
      </c>
      <c r="E26" s="23">
        <f t="shared" ref="E26:J26" si="4">SUM(E6:E25)</f>
        <v>63000</v>
      </c>
      <c r="F26" s="24">
        <f t="shared" si="4"/>
        <v>6.717</v>
      </c>
      <c r="G26" s="25">
        <f t="shared" si="4"/>
        <v>-0.289069081346045</v>
      </c>
      <c r="H26" s="26">
        <f t="shared" si="4"/>
        <v>-2700.51617821182</v>
      </c>
      <c r="I26" s="44">
        <f t="shared" si="4"/>
        <v>595000000</v>
      </c>
      <c r="J26" s="45">
        <f t="shared" si="4"/>
        <v>-2700.51617821182</v>
      </c>
    </row>
    <row r="27" ht="14.25"/>
    <row r="28" ht="14.25" spans="5:6">
      <c r="E28" s="2" t="s">
        <v>22</v>
      </c>
      <c r="F28" s="27"/>
    </row>
    <row r="29" spans="5:6">
      <c r="E29" s="28" t="s">
        <v>99</v>
      </c>
      <c r="F29" s="29">
        <f>IF('TM-21 Inputs'!I22="","",((COUNTIF(E6:E25,"&gt;"&amp;0)*H26-(E26*G26))/((COUNTIF(E6:E25,"&gt;"&amp;0)*I26)-(E26^2))))</f>
        <v>-3.53194450347943e-6</v>
      </c>
    </row>
    <row r="30" spans="5:6">
      <c r="E30" s="30" t="s">
        <v>100</v>
      </c>
      <c r="F30" s="31">
        <f>IF('TM-21 Inputs'!I22="","",(G26-(F29*E26))/COUNTIF(E6:E25,"&gt;"&amp;0))</f>
        <v>-0.00950808251812007</v>
      </c>
    </row>
    <row r="31" ht="15" spans="5:6">
      <c r="E31" s="32" t="s">
        <v>58</v>
      </c>
      <c r="F31" s="31">
        <f>IF('TM-21 Inputs'!I22="","",-F29)</f>
        <v>3.53194450347943e-6</v>
      </c>
    </row>
    <row r="32" spans="5:6">
      <c r="E32" s="30" t="s">
        <v>59</v>
      </c>
      <c r="F32" s="31">
        <f>IF('TM-21 Inputs'!I22="","",EXP(F30))</f>
        <v>0.990536976377486</v>
      </c>
    </row>
    <row r="33" ht="30" customHeight="1" spans="5:6">
      <c r="E33" s="33" t="str">
        <f>CONCATENATE("Calculated L",'TM-21 Inputs'!I35," (hrs):")</f>
        <v>Calculated L90 (hrs):</v>
      </c>
      <c r="F33" s="34">
        <f>IF('TM-21 Inputs'!I22="","",ROUND((LN(F32/('TM-21 Inputs'!$I$35/100))/F31),-3))</f>
        <v>27000</v>
      </c>
    </row>
    <row r="34" ht="27.75" spans="5:6">
      <c r="E34" s="35" t="str">
        <f>CONCATENATE("Reported L",'TM-21 Inputs'!I35," (hrs):")</f>
        <v>Reported L90 (hrs):</v>
      </c>
      <c r="F34" s="36">
        <f>IF('TM-21 Inputs'!I22="","",IF(OR(AND('TM-21 Inputs'!$I$18&gt;=20,$F$33&lt;6*'TM-21 Inputs'!$I$19),AND('TM-21 Inputs'!$I$18&gt;=10,'TM-21 Inputs'!$I$18&lt;=19,$F$33&lt;5.5*'TM-21 Inputs'!$I$19)),ROUND(F33,-3),IF('TM-21 Inputs'!$I$18&gt;=20,CONCATENATE("&gt;",ROUND((6*'TM-21 Inputs'!$I$19),-3)),IF(AND('TM-21 Inputs'!$I$18&gt;=10,'TM-21 Inputs'!$I$18&lt;=19),CONCATENATE("&gt;",ROUND((5.5*'TM-21 Inputs'!$I$19),-3)),"error"))))</f>
        <v>27000</v>
      </c>
    </row>
  </sheetData>
  <sheetProtection password="C696" sheet="1" objects="1" scenarios="1"/>
  <mergeCells count="2">
    <mergeCell ref="D4:J4"/>
    <mergeCell ref="E28:F28"/>
  </mergeCells>
  <pageMargins left="0.7" right="0.7" top="0.75" bottom="0.75" header="0.3" footer="0.3"/>
  <pageSetup paperSize="1" orientation="portrait" horizontalDpi="3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rgb="FFFFC000"/>
  </sheetPr>
  <dimension ref="D3:J34"/>
  <sheetViews>
    <sheetView topLeftCell="A10" workbookViewId="0">
      <selection activeCell="G26" sqref="G26"/>
    </sheetView>
  </sheetViews>
  <sheetFormatPr defaultColWidth="9.10833333333333" defaultRowHeight="13.5"/>
  <cols>
    <col min="1" max="1" width="17" style="1" customWidth="1"/>
    <col min="2" max="3" width="9.10833333333333" style="1"/>
    <col min="4" max="4" width="6.44166666666667" style="1" customWidth="1"/>
    <col min="5" max="5" width="12.8833333333333" style="1" customWidth="1"/>
    <col min="6" max="6" width="17.8833333333333" style="1" customWidth="1"/>
    <col min="7" max="7" width="27.4416666666667" style="1" customWidth="1"/>
    <col min="8" max="8" width="12.4416666666667" style="1" customWidth="1"/>
    <col min="9" max="9" width="11.1083333333333" style="1" customWidth="1"/>
    <col min="10" max="16384" width="9.10833333333333" style="1"/>
  </cols>
  <sheetData>
    <row r="3" ht="14.25"/>
    <row r="4" ht="15" customHeight="1" spans="4:10">
      <c r="D4" s="2" t="str">
        <f>IF('TM-21 Inputs'!I23="","Insert Case Temperature 3",CONCATENATE("Test Data for ",'TM-21 Inputs'!I23,"⁰C Case Temperature"))</f>
        <v>Insert Case Temperature 3</v>
      </c>
      <c r="E4" s="3"/>
      <c r="F4" s="3"/>
      <c r="G4" s="3"/>
      <c r="H4" s="3"/>
      <c r="I4" s="3"/>
      <c r="J4" s="27"/>
    </row>
    <row r="5" ht="60" customHeight="1" spans="4:10">
      <c r="D5" s="4" t="s">
        <v>91</v>
      </c>
      <c r="E5" s="5" t="s">
        <v>92</v>
      </c>
      <c r="F5" s="6" t="s">
        <v>93</v>
      </c>
      <c r="G5" s="6" t="s">
        <v>94</v>
      </c>
      <c r="H5" s="6" t="s">
        <v>95</v>
      </c>
      <c r="I5" s="6" t="s">
        <v>96</v>
      </c>
      <c r="J5" s="37" t="s">
        <v>97</v>
      </c>
    </row>
    <row r="6" spans="4:10">
      <c r="D6" s="7" t="str">
        <f>IF(E6="","",'TM-21 Inputs'!#REF!)</f>
        <v/>
      </c>
      <c r="E6" s="8" t="str">
        <f>IF(OR('TM-21 Inputs'!$I$19="",'TM-21 Inputs'!$I$21=""),"-",IF(OR('TM-21 Inputs'!Q10="",'TM-21 Inputs'!L10=""),"",IF(OR(AND('TM-21 Inputs'!$I$19&gt;=6000,'TM-21 Inputs'!$I$19&lt;=10000,'TM-21 Inputs'!Q10&gt;='TM-21 Inputs'!$I$19-5000),AND('TM-21 Inputs'!$I$19&gt;10000,OR('TM-21 Inputs'!Q10&gt;=0.5*'TM-21 Inputs'!$I$19,'TM-21 Inputs'!Q10=SMALL('TM-21 Inputs'!$Q$10:$Q$29,COUNTIF('TM-21 Inputs'!$Q$10:$Q$29,"&lt;"&amp;(0.5*'TM-21 Inputs'!$I$19)+1))))),'TM-21 Inputs'!Q10,"")))</f>
        <v/>
      </c>
      <c r="F6" s="9" t="str">
        <f>IF(E6="","",'TM-21 Inputs'!R10)</f>
        <v/>
      </c>
      <c r="G6" s="10" t="str">
        <f>IF(E6="","",LN(F6))</f>
        <v/>
      </c>
      <c r="H6" s="11" t="str">
        <f>IF(E6="","",(G6*E6))</f>
        <v/>
      </c>
      <c r="I6" s="38" t="str">
        <f>IF(E6="","",E6^2)</f>
        <v/>
      </c>
      <c r="J6" s="39" t="str">
        <f>IF(E6="","",E6*G6)</f>
        <v/>
      </c>
    </row>
    <row r="7" spans="4:10">
      <c r="D7" s="12" t="str">
        <f>IF(E7="","",'TM-21 Inputs'!#REF!)</f>
        <v/>
      </c>
      <c r="E7" s="13" t="str">
        <f>IF(OR('TM-21 Inputs'!$I$19="",'TM-21 Inputs'!$I$21=""),"-",IF(OR('TM-21 Inputs'!Q11="",'TM-21 Inputs'!L11=""),"",IF(OR(AND('TM-21 Inputs'!$I$19&gt;=6000,'TM-21 Inputs'!$I$19&lt;=10000,'TM-21 Inputs'!Q11&gt;='TM-21 Inputs'!$I$19-5000),AND('TM-21 Inputs'!$I$19&gt;10000,OR('TM-21 Inputs'!Q11&gt;=0.5*'TM-21 Inputs'!$I$19,'TM-21 Inputs'!Q11=SMALL('TM-21 Inputs'!$Q$10:$Q$29,COUNTIF('TM-21 Inputs'!$Q$10:$Q$29,"&lt;"&amp;(0.5*'TM-21 Inputs'!$I$19)+1))))),'TM-21 Inputs'!Q11,"")))</f>
        <v/>
      </c>
      <c r="F7" s="14" t="str">
        <f>IF(E7="","",'TM-21 Inputs'!R11)</f>
        <v/>
      </c>
      <c r="G7" s="15" t="str">
        <f t="shared" ref="G7:G25" si="0">IF(E7="","",LN(F7))</f>
        <v/>
      </c>
      <c r="H7" s="16" t="str">
        <f t="shared" ref="H7:H25" si="1">IF(E7="","",(G7*E7))</f>
        <v/>
      </c>
      <c r="I7" s="40" t="str">
        <f t="shared" ref="I7:I25" si="2">IF(E7="","",E7^2)</f>
        <v/>
      </c>
      <c r="J7" s="41" t="str">
        <f t="shared" ref="J7:J25" si="3">IF(E7="","",E7*G7)</f>
        <v/>
      </c>
    </row>
    <row r="8" spans="4:10">
      <c r="D8" s="12" t="str">
        <f>IF(E8="","",'TM-21 Inputs'!#REF!)</f>
        <v/>
      </c>
      <c r="E8" s="13" t="str">
        <f>IF(OR('TM-21 Inputs'!$I$19="",'TM-21 Inputs'!$I$21=""),"-",IF(OR('TM-21 Inputs'!Q12="",'TM-21 Inputs'!L12=""),"",IF(OR(AND('TM-21 Inputs'!$I$19&gt;=6000,'TM-21 Inputs'!$I$19&lt;=10000,'TM-21 Inputs'!Q12&gt;='TM-21 Inputs'!$I$19-5000),AND('TM-21 Inputs'!$I$19&gt;10000,OR('TM-21 Inputs'!Q12&gt;=0.5*'TM-21 Inputs'!$I$19,'TM-21 Inputs'!Q12=SMALL('TM-21 Inputs'!$Q$10:$Q$29,COUNTIF('TM-21 Inputs'!$Q$10:$Q$29,"&lt;"&amp;(0.5*'TM-21 Inputs'!$I$19)+1))))),'TM-21 Inputs'!Q12,"")))</f>
        <v/>
      </c>
      <c r="F8" s="14" t="str">
        <f>IF(E8="","",'TM-21 Inputs'!R12)</f>
        <v/>
      </c>
      <c r="G8" s="15" t="str">
        <f t="shared" si="0"/>
        <v/>
      </c>
      <c r="H8" s="16" t="str">
        <f t="shared" si="1"/>
        <v/>
      </c>
      <c r="I8" s="40" t="str">
        <f t="shared" si="2"/>
        <v/>
      </c>
      <c r="J8" s="41" t="str">
        <f t="shared" si="3"/>
        <v/>
      </c>
    </row>
    <row r="9" spans="4:10">
      <c r="D9" s="12" t="str">
        <f>IF(E9="","",'TM-21 Inputs'!#REF!)</f>
        <v/>
      </c>
      <c r="E9" s="13" t="str">
        <f>IF(OR('TM-21 Inputs'!$I$19="",'TM-21 Inputs'!$I$21=""),"-",IF(OR('TM-21 Inputs'!Q13="",'TM-21 Inputs'!L13=""),"",IF(OR(AND('TM-21 Inputs'!$I$19&gt;=6000,'TM-21 Inputs'!$I$19&lt;=10000,'TM-21 Inputs'!Q13&gt;='TM-21 Inputs'!$I$19-5000),AND('TM-21 Inputs'!$I$19&gt;10000,OR('TM-21 Inputs'!Q13&gt;=0.5*'TM-21 Inputs'!$I$19,'TM-21 Inputs'!Q13=SMALL('TM-21 Inputs'!$Q$10:$Q$29,COUNTIF('TM-21 Inputs'!$Q$10:$Q$29,"&lt;"&amp;(0.5*'TM-21 Inputs'!$I$19)+1))))),'TM-21 Inputs'!Q13,"")))</f>
        <v/>
      </c>
      <c r="F9" s="14" t="str">
        <f>IF(E9="","",'TM-21 Inputs'!R13)</f>
        <v/>
      </c>
      <c r="G9" s="15" t="str">
        <f t="shared" si="0"/>
        <v/>
      </c>
      <c r="H9" s="16" t="str">
        <f t="shared" si="1"/>
        <v/>
      </c>
      <c r="I9" s="40" t="str">
        <f t="shared" si="2"/>
        <v/>
      </c>
      <c r="J9" s="41" t="str">
        <f t="shared" si="3"/>
        <v/>
      </c>
    </row>
    <row r="10" spans="4:10">
      <c r="D10" s="12" t="str">
        <f>IF(E10="","",'TM-21 Inputs'!#REF!)</f>
        <v/>
      </c>
      <c r="E10" s="13" t="str">
        <f>IF(OR('TM-21 Inputs'!$I$19="",'TM-21 Inputs'!$I$21=""),"-",IF(OR('TM-21 Inputs'!Q14="",'TM-21 Inputs'!L14=""),"",IF(OR(AND('TM-21 Inputs'!$I$19&gt;=6000,'TM-21 Inputs'!$I$19&lt;=10000,'TM-21 Inputs'!Q14&gt;='TM-21 Inputs'!$I$19-5000),AND('TM-21 Inputs'!$I$19&gt;10000,OR('TM-21 Inputs'!Q14&gt;=0.5*'TM-21 Inputs'!$I$19,'TM-21 Inputs'!Q14=SMALL('TM-21 Inputs'!$Q$10:$Q$29,COUNTIF('TM-21 Inputs'!$Q$10:$Q$29,"&lt;"&amp;(0.5*'TM-21 Inputs'!$I$19)+1))))),'TM-21 Inputs'!Q14,"")))</f>
        <v/>
      </c>
      <c r="F10" s="14" t="str">
        <f>IF(E10="","",'TM-21 Inputs'!R14)</f>
        <v/>
      </c>
      <c r="G10" s="15" t="str">
        <f t="shared" si="0"/>
        <v/>
      </c>
      <c r="H10" s="16" t="str">
        <f t="shared" si="1"/>
        <v/>
      </c>
      <c r="I10" s="40" t="str">
        <f t="shared" si="2"/>
        <v/>
      </c>
      <c r="J10" s="41" t="str">
        <f t="shared" si="3"/>
        <v/>
      </c>
    </row>
    <row r="11" spans="4:10">
      <c r="D11" s="12" t="str">
        <f>IF(E11="","",'TM-21 Inputs'!#REF!)</f>
        <v/>
      </c>
      <c r="E11" s="13" t="str">
        <f>IF(OR('TM-21 Inputs'!$I$19="",'TM-21 Inputs'!$I$21=""),"-",IF(OR('TM-21 Inputs'!Q15="",'TM-21 Inputs'!L15=""),"",IF(OR(AND('TM-21 Inputs'!$I$19&gt;=6000,'TM-21 Inputs'!$I$19&lt;=10000,'TM-21 Inputs'!Q15&gt;='TM-21 Inputs'!$I$19-5000),AND('TM-21 Inputs'!$I$19&gt;10000,OR('TM-21 Inputs'!Q15&gt;=0.5*'TM-21 Inputs'!$I$19,'TM-21 Inputs'!Q15=SMALL('TM-21 Inputs'!$Q$10:$Q$29,COUNTIF('TM-21 Inputs'!$Q$10:$Q$29,"&lt;"&amp;(0.5*'TM-21 Inputs'!$I$19)+1))))),'TM-21 Inputs'!Q15,"")))</f>
        <v/>
      </c>
      <c r="F11" s="14" t="str">
        <f>IF(E11="","",'TM-21 Inputs'!R15)</f>
        <v/>
      </c>
      <c r="G11" s="15" t="str">
        <f t="shared" si="0"/>
        <v/>
      </c>
      <c r="H11" s="16" t="str">
        <f t="shared" si="1"/>
        <v/>
      </c>
      <c r="I11" s="40" t="str">
        <f t="shared" si="2"/>
        <v/>
      </c>
      <c r="J11" s="41" t="str">
        <f t="shared" si="3"/>
        <v/>
      </c>
    </row>
    <row r="12" spans="4:10">
      <c r="D12" s="12" t="str">
        <f>IF(E12="","",'TM-21 Inputs'!#REF!)</f>
        <v/>
      </c>
      <c r="E12" s="13" t="str">
        <f>IF(OR('TM-21 Inputs'!$I$19="",'TM-21 Inputs'!$I$21=""),"-",IF(OR('TM-21 Inputs'!Q16="",'TM-21 Inputs'!L16=""),"",IF(OR(AND('TM-21 Inputs'!$I$19&gt;=6000,'TM-21 Inputs'!$I$19&lt;=10000,'TM-21 Inputs'!Q16&gt;='TM-21 Inputs'!$I$19-5000),AND('TM-21 Inputs'!$I$19&gt;10000,OR('TM-21 Inputs'!Q16&gt;=0.5*'TM-21 Inputs'!$I$19,'TM-21 Inputs'!Q16=SMALL('TM-21 Inputs'!$Q$10:$Q$29,COUNTIF('TM-21 Inputs'!$Q$10:$Q$29,"&lt;"&amp;(0.5*'TM-21 Inputs'!$I$19)+1))))),'TM-21 Inputs'!Q16,"")))</f>
        <v/>
      </c>
      <c r="F12" s="14" t="str">
        <f>IF(E12="","",'TM-21 Inputs'!R16)</f>
        <v/>
      </c>
      <c r="G12" s="15" t="str">
        <f t="shared" si="0"/>
        <v/>
      </c>
      <c r="H12" s="16" t="str">
        <f t="shared" si="1"/>
        <v/>
      </c>
      <c r="I12" s="40" t="str">
        <f t="shared" si="2"/>
        <v/>
      </c>
      <c r="J12" s="41" t="str">
        <f t="shared" si="3"/>
        <v/>
      </c>
    </row>
    <row r="13" spans="4:10">
      <c r="D13" s="12" t="str">
        <f>IF(E13="","",'TM-21 Inputs'!#REF!)</f>
        <v/>
      </c>
      <c r="E13" s="13" t="str">
        <f>IF(OR('TM-21 Inputs'!$I$19="",'TM-21 Inputs'!$I$21=""),"-",IF(OR('TM-21 Inputs'!Q17="",'TM-21 Inputs'!L17=""),"",IF(OR(AND('TM-21 Inputs'!$I$19&gt;=6000,'TM-21 Inputs'!$I$19&lt;=10000,'TM-21 Inputs'!Q17&gt;='TM-21 Inputs'!$I$19-5000),AND('TM-21 Inputs'!$I$19&gt;10000,OR('TM-21 Inputs'!Q17&gt;=0.5*'TM-21 Inputs'!$I$19,'TM-21 Inputs'!Q17=SMALL('TM-21 Inputs'!$Q$10:$Q$29,COUNTIF('TM-21 Inputs'!$Q$10:$Q$29,"&lt;"&amp;(0.5*'TM-21 Inputs'!$I$19)+1))))),'TM-21 Inputs'!Q17,"")))</f>
        <v/>
      </c>
      <c r="F13" s="14" t="str">
        <f>IF(E13="","",'TM-21 Inputs'!R17)</f>
        <v/>
      </c>
      <c r="G13" s="15" t="str">
        <f t="shared" si="0"/>
        <v/>
      </c>
      <c r="H13" s="16" t="str">
        <f t="shared" si="1"/>
        <v/>
      </c>
      <c r="I13" s="40" t="str">
        <f t="shared" si="2"/>
        <v/>
      </c>
      <c r="J13" s="41" t="str">
        <f t="shared" si="3"/>
        <v/>
      </c>
    </row>
    <row r="14" spans="4:10">
      <c r="D14" s="12" t="str">
        <f>IF(E14="","",'TM-21 Inputs'!#REF!)</f>
        <v/>
      </c>
      <c r="E14" s="13" t="str">
        <f>IF(OR('TM-21 Inputs'!$I$19="",'TM-21 Inputs'!$I$21=""),"-",IF(OR('TM-21 Inputs'!Q18="",'TM-21 Inputs'!L18=""),"",IF(OR(AND('TM-21 Inputs'!$I$19&gt;=6000,'TM-21 Inputs'!$I$19&lt;=10000,'TM-21 Inputs'!Q18&gt;='TM-21 Inputs'!$I$19-5000),AND('TM-21 Inputs'!$I$19&gt;10000,OR('TM-21 Inputs'!Q18&gt;=0.5*'TM-21 Inputs'!$I$19,'TM-21 Inputs'!Q18=SMALL('TM-21 Inputs'!$Q$10:$Q$29,COUNTIF('TM-21 Inputs'!$Q$10:$Q$29,"&lt;"&amp;(0.5*'TM-21 Inputs'!$I$19)+1))))),'TM-21 Inputs'!Q18,"")))</f>
        <v/>
      </c>
      <c r="F14" s="14" t="str">
        <f>IF(E14="","",'TM-21 Inputs'!R18)</f>
        <v/>
      </c>
      <c r="G14" s="15" t="str">
        <f t="shared" si="0"/>
        <v/>
      </c>
      <c r="H14" s="16" t="str">
        <f t="shared" si="1"/>
        <v/>
      </c>
      <c r="I14" s="40" t="str">
        <f t="shared" si="2"/>
        <v/>
      </c>
      <c r="J14" s="41" t="str">
        <f t="shared" si="3"/>
        <v/>
      </c>
    </row>
    <row r="15" spans="4:10">
      <c r="D15" s="12" t="str">
        <f>IF(E15="","",'TM-21 Inputs'!#REF!)</f>
        <v/>
      </c>
      <c r="E15" s="13" t="str">
        <f>IF(OR('TM-21 Inputs'!$I$19="",'TM-21 Inputs'!$I$21=""),"-",IF(OR('TM-21 Inputs'!Q19="",'TM-21 Inputs'!L19=""),"",IF(OR(AND('TM-21 Inputs'!$I$19&gt;=6000,'TM-21 Inputs'!$I$19&lt;=10000,'TM-21 Inputs'!Q19&gt;='TM-21 Inputs'!$I$19-5000),AND('TM-21 Inputs'!$I$19&gt;10000,OR('TM-21 Inputs'!Q19&gt;=0.5*'TM-21 Inputs'!$I$19,'TM-21 Inputs'!Q19=SMALL('TM-21 Inputs'!$Q$10:$Q$29,COUNTIF('TM-21 Inputs'!$Q$10:$Q$29,"&lt;"&amp;(0.5*'TM-21 Inputs'!$I$19)+1))))),'TM-21 Inputs'!Q19,"")))</f>
        <v/>
      </c>
      <c r="F15" s="14" t="str">
        <f>IF(E15="","",'TM-21 Inputs'!R19)</f>
        <v/>
      </c>
      <c r="G15" s="15" t="str">
        <f t="shared" si="0"/>
        <v/>
      </c>
      <c r="H15" s="16" t="str">
        <f t="shared" si="1"/>
        <v/>
      </c>
      <c r="I15" s="40" t="str">
        <f t="shared" si="2"/>
        <v/>
      </c>
      <c r="J15" s="41" t="str">
        <f t="shared" si="3"/>
        <v/>
      </c>
    </row>
    <row r="16" spans="4:10">
      <c r="D16" s="12" t="str">
        <f>IF(E16="","",'TM-21 Inputs'!#REF!)</f>
        <v/>
      </c>
      <c r="E16" s="13" t="str">
        <f>IF(OR('TM-21 Inputs'!$I$19="",'TM-21 Inputs'!$I$21=""),"-",IF(OR('TM-21 Inputs'!Q20="",'TM-21 Inputs'!L20=""),"",IF(OR(AND('TM-21 Inputs'!$I$19&gt;=6000,'TM-21 Inputs'!$I$19&lt;=10000,'TM-21 Inputs'!Q20&gt;='TM-21 Inputs'!$I$19-5000),AND('TM-21 Inputs'!$I$19&gt;10000,OR('TM-21 Inputs'!Q20&gt;=0.5*'TM-21 Inputs'!$I$19,'TM-21 Inputs'!Q20=SMALL('TM-21 Inputs'!$Q$10:$Q$29,COUNTIF('TM-21 Inputs'!$Q$10:$Q$29,"&lt;"&amp;(0.5*'TM-21 Inputs'!$I$19)+1))))),'TM-21 Inputs'!Q20,"")))</f>
        <v/>
      </c>
      <c r="F16" s="14" t="str">
        <f>IF(E16="","",'TM-21 Inputs'!R20)</f>
        <v/>
      </c>
      <c r="G16" s="15" t="str">
        <f t="shared" si="0"/>
        <v/>
      </c>
      <c r="H16" s="16" t="str">
        <f t="shared" si="1"/>
        <v/>
      </c>
      <c r="I16" s="40" t="str">
        <f t="shared" si="2"/>
        <v/>
      </c>
      <c r="J16" s="41" t="str">
        <f t="shared" si="3"/>
        <v/>
      </c>
    </row>
    <row r="17" spans="4:10">
      <c r="D17" s="12" t="str">
        <f>IF(E17="","",'TM-21 Inputs'!#REF!)</f>
        <v/>
      </c>
      <c r="E17" s="13" t="str">
        <f>IF(OR('TM-21 Inputs'!$I$19="",'TM-21 Inputs'!$I$21=""),"-",IF(OR('TM-21 Inputs'!Q21="",'TM-21 Inputs'!L21=""),"",IF(OR(AND('TM-21 Inputs'!$I$19&gt;=6000,'TM-21 Inputs'!$I$19&lt;=10000,'TM-21 Inputs'!Q21&gt;='TM-21 Inputs'!$I$19-5000),AND('TM-21 Inputs'!$I$19&gt;10000,OR('TM-21 Inputs'!Q21&gt;=0.5*'TM-21 Inputs'!$I$19,'TM-21 Inputs'!Q21=SMALL('TM-21 Inputs'!$Q$10:$Q$29,COUNTIF('TM-21 Inputs'!$Q$10:$Q$29,"&lt;"&amp;(0.5*'TM-21 Inputs'!$I$19)+1))))),'TM-21 Inputs'!Q21,"")))</f>
        <v/>
      </c>
      <c r="F17" s="14" t="str">
        <f>IF(E17="","",'TM-21 Inputs'!R21)</f>
        <v/>
      </c>
      <c r="G17" s="15" t="str">
        <f t="shared" si="0"/>
        <v/>
      </c>
      <c r="H17" s="16" t="str">
        <f t="shared" si="1"/>
        <v/>
      </c>
      <c r="I17" s="40" t="str">
        <f t="shared" si="2"/>
        <v/>
      </c>
      <c r="J17" s="41" t="str">
        <f t="shared" si="3"/>
        <v/>
      </c>
    </row>
    <row r="18" spans="4:10">
      <c r="D18" s="12" t="str">
        <f>IF(E18="","",'TM-21 Inputs'!#REF!)</f>
        <v/>
      </c>
      <c r="E18" s="13" t="str">
        <f>IF(OR('TM-21 Inputs'!$I$19="",'TM-21 Inputs'!$I$21=""),"-",IF(OR('TM-21 Inputs'!Q22="",'TM-21 Inputs'!L22=""),"",IF(OR(AND('TM-21 Inputs'!$I$19&gt;=6000,'TM-21 Inputs'!$I$19&lt;=10000,'TM-21 Inputs'!Q22&gt;='TM-21 Inputs'!$I$19-5000),AND('TM-21 Inputs'!$I$19&gt;10000,OR('TM-21 Inputs'!Q22&gt;=0.5*'TM-21 Inputs'!$I$19,'TM-21 Inputs'!Q22=SMALL('TM-21 Inputs'!$Q$10:$Q$29,COUNTIF('TM-21 Inputs'!$Q$10:$Q$29,"&lt;"&amp;(0.5*'TM-21 Inputs'!$I$19)+1))))),'TM-21 Inputs'!Q22,"")))</f>
        <v/>
      </c>
      <c r="F18" s="14" t="str">
        <f>IF(E18="","",'TM-21 Inputs'!R22)</f>
        <v/>
      </c>
      <c r="G18" s="15" t="str">
        <f t="shared" si="0"/>
        <v/>
      </c>
      <c r="H18" s="16" t="str">
        <f t="shared" si="1"/>
        <v/>
      </c>
      <c r="I18" s="40" t="str">
        <f t="shared" si="2"/>
        <v/>
      </c>
      <c r="J18" s="41" t="str">
        <f t="shared" si="3"/>
        <v/>
      </c>
    </row>
    <row r="19" spans="4:10">
      <c r="D19" s="12" t="str">
        <f>IF(E19="","",'TM-21 Inputs'!#REF!)</f>
        <v/>
      </c>
      <c r="E19" s="13" t="str">
        <f>IF(OR('TM-21 Inputs'!$I$19="",'TM-21 Inputs'!$I$21=""),"-",IF(OR('TM-21 Inputs'!Q23="",'TM-21 Inputs'!L23=""),"",IF(OR(AND('TM-21 Inputs'!$I$19&gt;=6000,'TM-21 Inputs'!$I$19&lt;=10000,'TM-21 Inputs'!Q23&gt;='TM-21 Inputs'!$I$19-5000),AND('TM-21 Inputs'!$I$19&gt;10000,OR('TM-21 Inputs'!Q23&gt;=0.5*'TM-21 Inputs'!$I$19,'TM-21 Inputs'!Q23=SMALL('TM-21 Inputs'!$Q$10:$Q$29,COUNTIF('TM-21 Inputs'!$Q$10:$Q$29,"&lt;"&amp;(0.5*'TM-21 Inputs'!$I$19)+1))))),'TM-21 Inputs'!Q23,"")))</f>
        <v/>
      </c>
      <c r="F19" s="14" t="str">
        <f>IF(E19="","",'TM-21 Inputs'!R23)</f>
        <v/>
      </c>
      <c r="G19" s="15" t="str">
        <f t="shared" si="0"/>
        <v/>
      </c>
      <c r="H19" s="16" t="str">
        <f t="shared" si="1"/>
        <v/>
      </c>
      <c r="I19" s="40" t="str">
        <f t="shared" si="2"/>
        <v/>
      </c>
      <c r="J19" s="41" t="str">
        <f t="shared" si="3"/>
        <v/>
      </c>
    </row>
    <row r="20" spans="4:10">
      <c r="D20" s="12" t="str">
        <f>IF(E20="","",'TM-21 Inputs'!#REF!)</f>
        <v/>
      </c>
      <c r="E20" s="13" t="str">
        <f>IF(OR('TM-21 Inputs'!$I$19="",'TM-21 Inputs'!$I$21=""),"-",IF(OR('TM-21 Inputs'!Q24="",'TM-21 Inputs'!L24=""),"",IF(OR(AND('TM-21 Inputs'!$I$19&gt;=6000,'TM-21 Inputs'!$I$19&lt;=10000,'TM-21 Inputs'!Q24&gt;='TM-21 Inputs'!$I$19-5000),AND('TM-21 Inputs'!$I$19&gt;10000,OR('TM-21 Inputs'!Q24&gt;=0.5*'TM-21 Inputs'!$I$19,'TM-21 Inputs'!Q24=SMALL('TM-21 Inputs'!$Q$10:$Q$29,COUNTIF('TM-21 Inputs'!$Q$10:$Q$29,"&lt;"&amp;(0.5*'TM-21 Inputs'!$I$19)+1))))),'TM-21 Inputs'!Q24,"")))</f>
        <v/>
      </c>
      <c r="F20" s="14" t="str">
        <f>IF(E20="","",'TM-21 Inputs'!R24)</f>
        <v/>
      </c>
      <c r="G20" s="15" t="str">
        <f t="shared" si="0"/>
        <v/>
      </c>
      <c r="H20" s="16" t="str">
        <f t="shared" si="1"/>
        <v/>
      </c>
      <c r="I20" s="40" t="str">
        <f t="shared" si="2"/>
        <v/>
      </c>
      <c r="J20" s="41" t="str">
        <f t="shared" si="3"/>
        <v/>
      </c>
    </row>
    <row r="21" spans="4:10">
      <c r="D21" s="12" t="str">
        <f>IF(E21="","",'TM-21 Inputs'!#REF!)</f>
        <v/>
      </c>
      <c r="E21" s="13" t="str">
        <f>IF(OR('TM-21 Inputs'!$I$19="",'TM-21 Inputs'!$I$21=""),"-",IF(OR('TM-21 Inputs'!Q25="",'TM-21 Inputs'!L25=""),"",IF(OR(AND('TM-21 Inputs'!$I$19&gt;=6000,'TM-21 Inputs'!$I$19&lt;=10000,'TM-21 Inputs'!Q25&gt;='TM-21 Inputs'!$I$19-5000),AND('TM-21 Inputs'!$I$19&gt;10000,OR('TM-21 Inputs'!Q25&gt;=0.5*'TM-21 Inputs'!$I$19,'TM-21 Inputs'!Q25=SMALL('TM-21 Inputs'!$Q$10:$Q$29,COUNTIF('TM-21 Inputs'!$Q$10:$Q$29,"&lt;"&amp;(0.5*'TM-21 Inputs'!$I$19)+1))))),'TM-21 Inputs'!Q25,"")))</f>
        <v/>
      </c>
      <c r="F21" s="14" t="str">
        <f>IF(E21="","",'TM-21 Inputs'!R25)</f>
        <v/>
      </c>
      <c r="G21" s="15" t="str">
        <f t="shared" si="0"/>
        <v/>
      </c>
      <c r="H21" s="16" t="str">
        <f t="shared" si="1"/>
        <v/>
      </c>
      <c r="I21" s="40" t="str">
        <f t="shared" si="2"/>
        <v/>
      </c>
      <c r="J21" s="41" t="str">
        <f t="shared" si="3"/>
        <v/>
      </c>
    </row>
    <row r="22" spans="4:10">
      <c r="D22" s="12" t="str">
        <f>IF(E22="","",'TM-21 Inputs'!#REF!)</f>
        <v/>
      </c>
      <c r="E22" s="13" t="str">
        <f>IF(OR('TM-21 Inputs'!$I$19="",'TM-21 Inputs'!$I$21=""),"-",IF(OR('TM-21 Inputs'!Q26="",'TM-21 Inputs'!L26=""),"",IF(OR(AND('TM-21 Inputs'!$I$19&gt;=6000,'TM-21 Inputs'!$I$19&lt;=10000,'TM-21 Inputs'!Q26&gt;='TM-21 Inputs'!$I$19-5000),AND('TM-21 Inputs'!$I$19&gt;10000,OR('TM-21 Inputs'!Q26&gt;=0.5*'TM-21 Inputs'!$I$19,'TM-21 Inputs'!Q26=SMALL('TM-21 Inputs'!$Q$10:$Q$29,COUNTIF('TM-21 Inputs'!$Q$10:$Q$29,"&lt;"&amp;(0.5*'TM-21 Inputs'!$I$19)+1))))),'TM-21 Inputs'!Q26,"")))</f>
        <v/>
      </c>
      <c r="F22" s="14" t="str">
        <f>IF(E22="","",'TM-21 Inputs'!R26)</f>
        <v/>
      </c>
      <c r="G22" s="15" t="str">
        <f t="shared" si="0"/>
        <v/>
      </c>
      <c r="H22" s="16" t="str">
        <f t="shared" si="1"/>
        <v/>
      </c>
      <c r="I22" s="40" t="str">
        <f t="shared" si="2"/>
        <v/>
      </c>
      <c r="J22" s="41" t="str">
        <f t="shared" si="3"/>
        <v/>
      </c>
    </row>
    <row r="23" spans="4:10">
      <c r="D23" s="12" t="str">
        <f>IF(E23="","",'TM-21 Inputs'!#REF!)</f>
        <v/>
      </c>
      <c r="E23" s="13" t="str">
        <f>IF(OR('TM-21 Inputs'!$I$19="",'TM-21 Inputs'!$I$21=""),"-",IF(OR('TM-21 Inputs'!Q27="",'TM-21 Inputs'!L27=""),"",IF(OR(AND('TM-21 Inputs'!$I$19&gt;=6000,'TM-21 Inputs'!$I$19&lt;=10000,'TM-21 Inputs'!Q27&gt;='TM-21 Inputs'!$I$19-5000),AND('TM-21 Inputs'!$I$19&gt;10000,OR('TM-21 Inputs'!Q27&gt;=0.5*'TM-21 Inputs'!$I$19,'TM-21 Inputs'!Q27=SMALL('TM-21 Inputs'!$Q$10:$Q$29,COUNTIF('TM-21 Inputs'!$Q$10:$Q$29,"&lt;"&amp;(0.5*'TM-21 Inputs'!$I$19)+1))))),'TM-21 Inputs'!Q27,"")))</f>
        <v/>
      </c>
      <c r="F23" s="14" t="str">
        <f>IF(E23="","",'TM-21 Inputs'!R27)</f>
        <v/>
      </c>
      <c r="G23" s="15" t="str">
        <f t="shared" si="0"/>
        <v/>
      </c>
      <c r="H23" s="16" t="str">
        <f t="shared" si="1"/>
        <v/>
      </c>
      <c r="I23" s="40" t="str">
        <f t="shared" si="2"/>
        <v/>
      </c>
      <c r="J23" s="41" t="str">
        <f t="shared" si="3"/>
        <v/>
      </c>
    </row>
    <row r="24" spans="4:10">
      <c r="D24" s="12" t="str">
        <f>IF(E24="","",'TM-21 Inputs'!#REF!)</f>
        <v/>
      </c>
      <c r="E24" s="13" t="str">
        <f>IF(OR('TM-21 Inputs'!$I$19="",'TM-21 Inputs'!$I$21=""),"-",IF(OR('TM-21 Inputs'!Q28="",'TM-21 Inputs'!L28=""),"",IF(OR(AND('TM-21 Inputs'!$I$19&gt;=6000,'TM-21 Inputs'!$I$19&lt;=10000,'TM-21 Inputs'!Q28&gt;='TM-21 Inputs'!$I$19-5000),AND('TM-21 Inputs'!$I$19&gt;10000,OR('TM-21 Inputs'!Q28&gt;=0.5*'TM-21 Inputs'!$I$19,'TM-21 Inputs'!Q28=SMALL('TM-21 Inputs'!$Q$10:$Q$29,COUNTIF('TM-21 Inputs'!$Q$10:$Q$29,"&lt;"&amp;(0.5*'TM-21 Inputs'!$I$19)+1))))),'TM-21 Inputs'!Q28,"")))</f>
        <v/>
      </c>
      <c r="F24" s="14" t="str">
        <f>IF(E24="","",'TM-21 Inputs'!R28)</f>
        <v/>
      </c>
      <c r="G24" s="15" t="str">
        <f t="shared" si="0"/>
        <v/>
      </c>
      <c r="H24" s="16" t="str">
        <f t="shared" si="1"/>
        <v/>
      </c>
      <c r="I24" s="40" t="str">
        <f t="shared" si="2"/>
        <v/>
      </c>
      <c r="J24" s="41" t="str">
        <f t="shared" si="3"/>
        <v/>
      </c>
    </row>
    <row r="25" spans="4:10">
      <c r="D25" s="17" t="str">
        <f>IF(E25="","",'TM-21 Inputs'!#REF!)</f>
        <v/>
      </c>
      <c r="E25" s="18" t="str">
        <f>IF(OR('TM-21 Inputs'!$I$19="",'TM-21 Inputs'!$I$21=""),"-",IF(OR('TM-21 Inputs'!Q29="",'TM-21 Inputs'!L29=""),"",IF(OR(AND('TM-21 Inputs'!$I$19&gt;=6000,'TM-21 Inputs'!$I$19&lt;=10000,'TM-21 Inputs'!Q29&gt;='TM-21 Inputs'!$I$19-5000),AND('TM-21 Inputs'!$I$19&gt;10000,OR('TM-21 Inputs'!Q29&gt;=0.5*'TM-21 Inputs'!$I$19,'TM-21 Inputs'!Q29=SMALL('TM-21 Inputs'!$Q$10:$Q$29,COUNTIF('TM-21 Inputs'!$Q$10:$Q$29,"&lt;"&amp;(0.5*'TM-21 Inputs'!$I$19)+1))))),'TM-21 Inputs'!Q29,"")))</f>
        <v/>
      </c>
      <c r="F25" s="19" t="str">
        <f>IF(E25="","",'TM-21 Inputs'!R29)</f>
        <v/>
      </c>
      <c r="G25" s="20" t="str">
        <f t="shared" si="0"/>
        <v/>
      </c>
      <c r="H25" s="21" t="str">
        <f t="shared" si="1"/>
        <v/>
      </c>
      <c r="I25" s="42" t="str">
        <f t="shared" si="2"/>
        <v/>
      </c>
      <c r="J25" s="43" t="str">
        <f t="shared" si="3"/>
        <v/>
      </c>
    </row>
    <row r="26" ht="14.25" spans="4:10">
      <c r="D26" s="22" t="s">
        <v>98</v>
      </c>
      <c r="E26" s="23">
        <f t="shared" ref="E26:J26" si="4">SUM(E6:E25)</f>
        <v>0</v>
      </c>
      <c r="F26" s="24">
        <f t="shared" si="4"/>
        <v>0</v>
      </c>
      <c r="G26" s="25">
        <f t="shared" si="4"/>
        <v>0</v>
      </c>
      <c r="H26" s="26">
        <f t="shared" si="4"/>
        <v>0</v>
      </c>
      <c r="I26" s="44">
        <f t="shared" si="4"/>
        <v>0</v>
      </c>
      <c r="J26" s="45">
        <f t="shared" si="4"/>
        <v>0</v>
      </c>
    </row>
    <row r="27" ht="14.25"/>
    <row r="28" ht="14.25" spans="5:6">
      <c r="E28" s="2" t="s">
        <v>22</v>
      </c>
      <c r="F28" s="27"/>
    </row>
    <row r="29" spans="5:6">
      <c r="E29" s="28" t="s">
        <v>99</v>
      </c>
      <c r="F29" s="29" t="str">
        <f>IF('TM-21 Inputs'!I23="","",((COUNTIF(E6:E25,"&gt;"&amp;0)*H26-(E26*G26))/((COUNTIF(E6:E25,"&gt;"&amp;0)*I26)-(E26^2))))</f>
        <v/>
      </c>
    </row>
    <row r="30" spans="5:6">
      <c r="E30" s="30" t="s">
        <v>100</v>
      </c>
      <c r="F30" s="31" t="str">
        <f>IF('TM-21 Inputs'!I23="","",(G26-(F29*E26))/COUNTIF(E6:E25,"&gt;"&amp;0))</f>
        <v/>
      </c>
    </row>
    <row r="31" ht="15" spans="5:6">
      <c r="E31" s="32" t="s">
        <v>58</v>
      </c>
      <c r="F31" s="31" t="str">
        <f>IF('TM-21 Inputs'!I23="","",-F29)</f>
        <v/>
      </c>
    </row>
    <row r="32" spans="5:6">
      <c r="E32" s="30" t="s">
        <v>59</v>
      </c>
      <c r="F32" s="31" t="str">
        <f>IF('TM-21 Inputs'!I23="","",EXP(F30))</f>
        <v/>
      </c>
    </row>
    <row r="33" ht="30" customHeight="1" spans="5:6">
      <c r="E33" s="33" t="str">
        <f>CONCATENATE("Calculated L",'TM-21 Inputs'!I35," (hrs):")</f>
        <v>Calculated L90 (hrs):</v>
      </c>
      <c r="F33" s="34" t="str">
        <f>IF('TM-21 Inputs'!I23="","",ROUND((LN(F32/('TM-21 Inputs'!$I$35/100))/F31),-3))</f>
        <v/>
      </c>
    </row>
    <row r="34" ht="30" customHeight="1" spans="5:6">
      <c r="E34" s="35" t="str">
        <f>CONCATENATE("Reported L",'TM-21 Inputs'!I35," (hrs):")</f>
        <v>Reported L90 (hrs):</v>
      </c>
      <c r="F34" s="36" t="str">
        <f>IF('TM-21 Inputs'!I23="","",IF(OR(AND('TM-21 Inputs'!$I$18&gt;=20,$F$33&lt;6*'TM-21 Inputs'!$I$19),AND('TM-21 Inputs'!$I$18&gt;=10,'TM-21 Inputs'!$I$18&lt;=19,$F$33&lt;5.5*'TM-21 Inputs'!$I$19)),ROUND(F33,-3),IF('TM-21 Inputs'!$I$18&gt;=20,CONCATENATE("&gt;",ROUND((6*'TM-21 Inputs'!$I$19),-3)),IF(AND('TM-21 Inputs'!$I$18&gt;=10,'TM-21 Inputs'!$I$18&lt;=19),CONCATENATE("&gt;",ROUND((5.5*'TM-21 Inputs'!$I$19),-3)),"error"))))</f>
        <v/>
      </c>
    </row>
  </sheetData>
  <sheetProtection password="C696" sheet="1" objects="1" scenarios="1"/>
  <mergeCells count="2">
    <mergeCell ref="D4:J4"/>
    <mergeCell ref="E28:F28"/>
  </mergeCells>
  <pageMargins left="0.7" right="0.7" top="0.75" bottom="0.75" header="0.3" footer="0.3"/>
  <pageSetup paperSize="1"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Company>DRINTL</Company>
  <Application>Microsoft Excel</Application>
  <HeadingPairs>
    <vt:vector size="2" baseType="variant">
      <vt:variant>
        <vt:lpstr>工作表</vt:lpstr>
      </vt:variant>
      <vt:variant>
        <vt:i4>9</vt:i4>
      </vt:variant>
    </vt:vector>
  </HeadingPairs>
  <TitlesOfParts>
    <vt:vector size="9" baseType="lpstr">
      <vt:lpstr>rev. 020712</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Tina Liu</cp:lastModifiedBy>
  <dcterms:created xsi:type="dcterms:W3CDTF">2011-11-01T14:53:00Z</dcterms:created>
  <cp:lastPrinted>2012-02-04T04:34:00Z</cp:lastPrinted>
  <dcterms:modified xsi:type="dcterms:W3CDTF">2022-05-16T02:29:19Z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E:\Documents\Lm-80\Standard\IES_TM-21\TM-21Calculator.xlsx</vt:lpwstr>
  </property>
  <property fmtid="{D5CDD505-2E9C-101B-9397-08002B2CF9AE}" pid="3" name="MSIP_Label_1c8e0fde-d954-47be-ab67-d16694a3feef_Enabled">
    <vt:lpwstr>True</vt:lpwstr>
  </property>
  <property fmtid="{D5CDD505-2E9C-101B-9397-08002B2CF9AE}" pid="4" name="MSIP_Label_1c8e0fde-d954-47be-ab67-d16694a3feef_SiteId">
    <vt:lpwstr>ec1ca250-c234-4d56-a76b-7dfb9eee0c46</vt:lpwstr>
  </property>
  <property fmtid="{D5CDD505-2E9C-101B-9397-08002B2CF9AE}" pid="5" name="MSIP_Label_1c8e0fde-d954-47be-ab67-d16694a3feef_Owner">
    <vt:lpwstr>D.Huang@osram.com</vt:lpwstr>
  </property>
  <property fmtid="{D5CDD505-2E9C-101B-9397-08002B2CF9AE}" pid="6" name="MSIP_Label_1c8e0fde-d954-47be-ab67-d16694a3feef_SetDate">
    <vt:lpwstr>2020-08-26T09:45:26.7169773Z</vt:lpwstr>
  </property>
  <property fmtid="{D5CDD505-2E9C-101B-9397-08002B2CF9AE}" pid="7" name="MSIP_Label_1c8e0fde-d954-47be-ab67-d16694a3feef_Name">
    <vt:lpwstr>Internal Use</vt:lpwstr>
  </property>
  <property fmtid="{D5CDD505-2E9C-101B-9397-08002B2CF9AE}" pid="8" name="MSIP_Label_1c8e0fde-d954-47be-ab67-d16694a3feef_Application">
    <vt:lpwstr>Microsoft Azure Information Protection</vt:lpwstr>
  </property>
  <property fmtid="{D5CDD505-2E9C-101B-9397-08002B2CF9AE}" pid="9" name="MSIP_Label_1c8e0fde-d954-47be-ab67-d16694a3feef_ActionId">
    <vt:lpwstr>180c32a2-7649-412d-a57b-c52c2afc2150</vt:lpwstr>
  </property>
  <property fmtid="{D5CDD505-2E9C-101B-9397-08002B2CF9AE}" pid="10" name="MSIP_Label_1c8e0fde-d954-47be-ab67-d16694a3feef_Extended_MSFT_Method">
    <vt:lpwstr>Automatic</vt:lpwstr>
  </property>
  <property fmtid="{D5CDD505-2E9C-101B-9397-08002B2CF9AE}" pid="11" name="MSIP_Label_f9dda1df-3fca-45c7-91be-5629a3733338_Enabled">
    <vt:lpwstr>True</vt:lpwstr>
  </property>
  <property fmtid="{D5CDD505-2E9C-101B-9397-08002B2CF9AE}" pid="12" name="MSIP_Label_f9dda1df-3fca-45c7-91be-5629a3733338_SiteId">
    <vt:lpwstr>ec1ca250-c234-4d56-a76b-7dfb9eee0c46</vt:lpwstr>
  </property>
  <property fmtid="{D5CDD505-2E9C-101B-9397-08002B2CF9AE}" pid="13" name="MSIP_Label_f9dda1df-3fca-45c7-91be-5629a3733338_Owner">
    <vt:lpwstr>D.Huang@osram.com</vt:lpwstr>
  </property>
  <property fmtid="{D5CDD505-2E9C-101B-9397-08002B2CF9AE}" pid="14" name="MSIP_Label_f9dda1df-3fca-45c7-91be-5629a3733338_SetDate">
    <vt:lpwstr>2020-08-26T09:45:26.7169773Z</vt:lpwstr>
  </property>
  <property fmtid="{D5CDD505-2E9C-101B-9397-08002B2CF9AE}" pid="15" name="MSIP_Label_f9dda1df-3fca-45c7-91be-5629a3733338_Name">
    <vt:lpwstr>All employees (unprotected)</vt:lpwstr>
  </property>
  <property fmtid="{D5CDD505-2E9C-101B-9397-08002B2CF9AE}" pid="16" name="MSIP_Label_f9dda1df-3fca-45c7-91be-5629a3733338_Application">
    <vt:lpwstr>Microsoft Azure Information Protection</vt:lpwstr>
  </property>
  <property fmtid="{D5CDD505-2E9C-101B-9397-08002B2CF9AE}" pid="17" name="MSIP_Label_f9dda1df-3fca-45c7-91be-5629a3733338_ActionId">
    <vt:lpwstr>180c32a2-7649-412d-a57b-c52c2afc2150</vt:lpwstr>
  </property>
  <property fmtid="{D5CDD505-2E9C-101B-9397-08002B2CF9AE}" pid="18" name="MSIP_Label_f9dda1df-3fca-45c7-91be-5629a3733338_Parent">
    <vt:lpwstr>1c8e0fde-d954-47be-ab67-d16694a3feef</vt:lpwstr>
  </property>
  <property fmtid="{D5CDD505-2E9C-101B-9397-08002B2CF9AE}" pid="19" name="MSIP_Label_f9dda1df-3fca-45c7-91be-5629a3733338_Extended_MSFT_Method">
    <vt:lpwstr>Automatic</vt:lpwstr>
  </property>
  <property fmtid="{D5CDD505-2E9C-101B-9397-08002B2CF9AE}" pid="20" name="Sensitivity">
    <vt:lpwstr>Internal Use All employees (unprotected)</vt:lpwstr>
  </property>
  <property fmtid="{D5CDD505-2E9C-101B-9397-08002B2CF9AE}" pid="21" name="ICV">
    <vt:lpwstr>E57344F08C2445949B726FCC48EF9238</vt:lpwstr>
  </property>
  <property fmtid="{D5CDD505-2E9C-101B-9397-08002B2CF9AE}" pid="22" name="KSOProductBuildVer">
    <vt:lpwstr>2052-11.1.0.11365</vt:lpwstr>
  </property>
</Properties>
</file>